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630" yWindow="645" windowWidth="27495" windowHeight="1272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Дифференциация!$I$12:$I$17</definedName>
    <definedName name="DIFFERENTIATION_AREA_ID">Дифференциация!$U$11:$U$18</definedName>
    <definedName name="DIFFERENTIATION_CheckC">Дифференциация!$D$12:$M$17</definedName>
    <definedName name="DIFFERENTIATION_fieldMarker">Дифференциация!$W$12:$W$17</definedName>
    <definedName name="DIFFERENTIATION_ID">TEHSHEET!$E$57</definedName>
    <definedName name="DIFFERENTIATION_ID_DIFF">Дифференциация!$O$12:$O$17</definedName>
    <definedName name="DIFFERENTIATION_SYSTEM">Дифференциация!$M$12:$M$17</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Дифференциация!$Q$12:$Q$17</definedName>
    <definedName name="DIFFERENTIATION_UNMERGE_SYSTEM">Дифференциация!$R$12:$R$17</definedName>
    <definedName name="DIFFERENTIATION_UNMERGE_VD">Дифференциация!$P$12:$P$17</definedName>
    <definedName name="DIFFERENTIATION_VD">Дифференциация!$E$12:$E$17</definedName>
    <definedName name="DIFFERENTIATION_VD_ID">Дифференциация!$V$11:$V$18</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Дифференциация!$G$12:$G$17</definedName>
    <definedName name="pDel_DIFFERENTIATION_SYSTEM">Дифференциация!$K$12:$K$17</definedName>
    <definedName name="pDel_DIFFERENTIATION_VD">Дифференциация!$C$12:$C$17</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ТП!$E$22</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Дифференциация!$M$18</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Дифференциация!$F$12:$F$17</definedName>
    <definedName name="Y_N_DIFFERENTIATION_SYSTEM">Дифференциация!$J$12:$J$17</definedName>
    <definedName name="YEAR_IP_LIST">TEHSHEET!$BE$2:$BE$72</definedName>
    <definedName name="year_list">TEHSHEET!$C$2:$C$6</definedName>
    <definedName name="year_list1">TEHSHEET!$B$2:$B$27</definedName>
  </definedNames>
  <calcPr calcId="14562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K93" i="63"/>
  <c r="N93" i="63" s="1"/>
  <c r="J93" i="63"/>
  <c r="M93" i="63" s="1"/>
  <c r="I93" i="63"/>
  <c r="L93" i="63" s="1"/>
  <c r="M92" i="63"/>
  <c r="K92" i="63"/>
  <c r="N92" i="63" s="1"/>
  <c r="J92" i="63"/>
  <c r="I92" i="63"/>
  <c r="L92" i="63" s="1"/>
  <c r="K91" i="63"/>
  <c r="N91" i="63" s="1"/>
  <c r="J91" i="63"/>
  <c r="M91" i="63" s="1"/>
  <c r="I91" i="63"/>
  <c r="L91" i="63" s="1"/>
  <c r="M90" i="63"/>
  <c r="K90" i="63"/>
  <c r="N90" i="63" s="1"/>
  <c r="J90" i="63"/>
  <c r="I90" i="63"/>
  <c r="L90" i="63" s="1"/>
  <c r="K89" i="63"/>
  <c r="N89" i="63" s="1"/>
  <c r="J89" i="63"/>
  <c r="M89" i="63" s="1"/>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M39" i="63"/>
  <c r="L39" i="63"/>
  <c r="K39" i="63"/>
  <c r="J39" i="63"/>
  <c r="I39" i="63"/>
  <c r="N38" i="63"/>
  <c r="L38" i="63"/>
  <c r="K38" i="63"/>
  <c r="J38" i="63"/>
  <c r="M38" i="63" s="1"/>
  <c r="I38" i="63"/>
  <c r="N37" i="63"/>
  <c r="M37" i="63"/>
  <c r="L37" i="63"/>
  <c r="K37" i="63"/>
  <c r="J37" i="63"/>
  <c r="I37" i="63"/>
  <c r="N36" i="63"/>
  <c r="K36" i="63"/>
  <c r="J36" i="63"/>
  <c r="M36" i="63" s="1"/>
  <c r="I36" i="63"/>
  <c r="L36" i="63" s="1"/>
  <c r="T35" i="63"/>
  <c r="N35" i="63"/>
  <c r="M35" i="63"/>
  <c r="K35" i="63"/>
  <c r="J35" i="63"/>
  <c r="I35" i="63"/>
  <c r="L35" i="63" s="1"/>
  <c r="L34" i="63"/>
  <c r="K34" i="63"/>
  <c r="N34" i="63" s="1"/>
  <c r="J34" i="63"/>
  <c r="M34" i="63" s="1"/>
  <c r="I34" i="63"/>
  <c r="T33" i="63"/>
  <c r="N33" i="63"/>
  <c r="K33" i="63"/>
  <c r="J33" i="63"/>
  <c r="M33" i="63" s="1"/>
  <c r="I33" i="63"/>
  <c r="L33" i="63" s="1"/>
  <c r="T32" i="63"/>
  <c r="N32" i="63"/>
  <c r="M32" i="63"/>
  <c r="K32" i="63"/>
  <c r="J32" i="63"/>
  <c r="I32" i="63"/>
  <c r="L32" i="63" s="1"/>
  <c r="L31" i="63"/>
  <c r="K31" i="63"/>
  <c r="N31" i="63" s="1"/>
  <c r="J31" i="63"/>
  <c r="M31" i="63" s="1"/>
  <c r="I31" i="63"/>
  <c r="N30" i="63"/>
  <c r="M30" i="63"/>
  <c r="K30" i="63"/>
  <c r="J30" i="63"/>
  <c r="I30" i="63"/>
  <c r="L30" i="63" s="1"/>
  <c r="T29" i="63"/>
  <c r="M29" i="63"/>
  <c r="L29" i="63"/>
  <c r="K29" i="63"/>
  <c r="N29" i="63" s="1"/>
  <c r="J29" i="63"/>
  <c r="I29" i="63"/>
  <c r="N28" i="63"/>
  <c r="K28" i="63"/>
  <c r="J28" i="63"/>
  <c r="M28" i="63" s="1"/>
  <c r="I28" i="63"/>
  <c r="L28" i="63" s="1"/>
  <c r="M27" i="63"/>
  <c r="L27" i="63"/>
  <c r="K27" i="63"/>
  <c r="N27" i="63" s="1"/>
  <c r="J27" i="63"/>
  <c r="I27" i="63"/>
  <c r="T26" i="63"/>
  <c r="L26" i="63"/>
  <c r="K26" i="63"/>
  <c r="N26" i="63" s="1"/>
  <c r="J26" i="63"/>
  <c r="M26" i="63" s="1"/>
  <c r="I26" i="63"/>
  <c r="N25" i="63"/>
  <c r="M25" i="63"/>
  <c r="K25" i="63"/>
  <c r="J25" i="63"/>
  <c r="I25" i="63"/>
  <c r="L25" i="63" s="1"/>
  <c r="L24" i="63"/>
  <c r="K24" i="63"/>
  <c r="N24" i="63" s="1"/>
  <c r="J24" i="63"/>
  <c r="M24" i="63" s="1"/>
  <c r="I24" i="63"/>
  <c r="N23" i="63"/>
  <c r="M23" i="63"/>
  <c r="K23" i="63"/>
  <c r="J23" i="63"/>
  <c r="I23" i="63"/>
  <c r="L23" i="63" s="1"/>
  <c r="L22" i="63"/>
  <c r="K22" i="63"/>
  <c r="N22" i="63" s="1"/>
  <c r="J22" i="63"/>
  <c r="M22" i="63" s="1"/>
  <c r="I22" i="63"/>
  <c r="N21" i="63"/>
  <c r="M21" i="63"/>
  <c r="K21" i="63"/>
  <c r="J21" i="63"/>
  <c r="I21" i="63"/>
  <c r="L21" i="63" s="1"/>
  <c r="L20" i="63"/>
  <c r="K20" i="63"/>
  <c r="N20" i="63" s="1"/>
  <c r="J20" i="63"/>
  <c r="M20" i="63" s="1"/>
  <c r="I20" i="63"/>
  <c r="N19" i="63"/>
  <c r="K19" i="63"/>
  <c r="J19" i="63"/>
  <c r="M19" i="63" s="1"/>
  <c r="I19" i="63"/>
  <c r="L19" i="63" s="1"/>
  <c r="L18" i="63"/>
  <c r="K18" i="63"/>
  <c r="N18" i="63" s="1"/>
  <c r="J18" i="63"/>
  <c r="M18" i="63" s="1"/>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L10" i="54"/>
  <c r="R10" i="54" s="1"/>
  <c r="K8" i="54"/>
  <c r="J8" i="54"/>
  <c r="G8" i="54"/>
  <c r="F8" i="54"/>
  <c r="R2" i="54"/>
  <c r="P2" i="54" a="1"/>
  <c r="P2" i="54" s="1"/>
  <c r="P9" i="53"/>
  <c r="N9" i="53" a="1"/>
  <c r="N9" i="53" s="1"/>
  <c r="J9" i="53"/>
  <c r="E5" i="53"/>
  <c r="P2" i="53"/>
  <c r="N2" i="53" a="1"/>
  <c r="N2" i="53"/>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I46" i="51"/>
  <c r="K45" i="51"/>
  <c r="I45" i="51"/>
  <c r="G44" i="51"/>
  <c r="H52" i="51" s="1"/>
  <c r="G36" i="51"/>
  <c r="E31" i="62" s="1"/>
  <c r="C31" i="62" s="1"/>
  <c r="F36" i="51"/>
  <c r="AA13" i="63" s="1"/>
  <c r="N13" i="63" s="1"/>
  <c r="J17" i="45" s="1"/>
  <c r="F32" i="51"/>
  <c r="E32" i="51"/>
  <c r="E29" i="51"/>
  <c r="L5" i="51"/>
  <c r="L6" i="51" s="1"/>
  <c r="L4" i="51"/>
  <c r="L3" i="51"/>
  <c r="K14" i="50"/>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I19" i="45"/>
  <c r="H19" i="45"/>
  <c r="G19" i="45"/>
  <c r="F19" i="45"/>
  <c r="J18" i="45"/>
  <c r="E17" i="45"/>
  <c r="E16" i="45"/>
  <c r="E15" i="45"/>
  <c r="I14" i="45"/>
  <c r="H14" i="45"/>
  <c r="G14" i="45"/>
  <c r="G11" i="45"/>
  <c r="G10" i="45"/>
  <c r="G9" i="45"/>
  <c r="D6" i="45"/>
  <c r="F2" i="45"/>
  <c r="F6" i="44"/>
  <c r="H57" i="43"/>
  <c r="H56" i="43"/>
  <c r="H55" i="43"/>
  <c r="I54" i="43"/>
  <c r="H54" i="43"/>
  <c r="H53" i="43"/>
  <c r="H52" i="43"/>
  <c r="H51" i="43"/>
  <c r="H50" i="43"/>
  <c r="I49" i="43"/>
  <c r="H47" i="43"/>
  <c r="H46" i="43"/>
  <c r="H45" i="43"/>
  <c r="I44" i="43"/>
  <c r="H44" i="43"/>
  <c r="H43" i="43"/>
  <c r="H42" i="43"/>
  <c r="H41" i="43"/>
  <c r="H40" i="43"/>
  <c r="I39" i="43"/>
  <c r="H39" i="43" s="1"/>
  <c r="I38" i="43"/>
  <c r="H38" i="43" s="1"/>
  <c r="H35" i="43"/>
  <c r="H34" i="43"/>
  <c r="H33" i="43"/>
  <c r="I32" i="43"/>
  <c r="H32" i="43"/>
  <c r="H31" i="43"/>
  <c r="H30" i="43"/>
  <c r="H29" i="43"/>
  <c r="I28" i="43"/>
  <c r="H28" i="43"/>
  <c r="H27" i="43"/>
  <c r="H26" i="43"/>
  <c r="H25" i="43"/>
  <c r="H24" i="43"/>
  <c r="H23" i="43"/>
  <c r="H22" i="43"/>
  <c r="H21" i="43"/>
  <c r="H20" i="43"/>
  <c r="H19" i="43"/>
  <c r="H18" i="43"/>
  <c r="H17" i="43"/>
  <c r="H16" i="43"/>
  <c r="I15" i="43"/>
  <c r="H11" i="43"/>
  <c r="F6" i="43"/>
  <c r="F6" i="42"/>
  <c r="H15" i="41"/>
  <c r="F6"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J16" i="38" s="1"/>
  <c r="I27" i="38"/>
  <c r="H27" i="38"/>
  <c r="I16" i="38"/>
  <c r="H16" i="38"/>
  <c r="H12" i="38"/>
  <c r="H11" i="38"/>
  <c r="H10" i="38"/>
  <c r="E7" i="38"/>
  <c r="E33" i="37"/>
  <c r="J32" i="37"/>
  <c r="I32" i="37"/>
  <c r="H32" i="37"/>
  <c r="H16" i="37" s="1"/>
  <c r="J16" i="37"/>
  <c r="I16" i="37"/>
  <c r="H12" i="37"/>
  <c r="H11" i="37"/>
  <c r="H10" i="37"/>
  <c r="E7" i="37"/>
  <c r="I6" i="36"/>
  <c r="F2" i="36"/>
  <c r="E2" i="36"/>
  <c r="L12" i="35"/>
  <c r="L11" i="35"/>
  <c r="L10" i="35"/>
  <c r="I7" i="35"/>
  <c r="N3" i="35"/>
  <c r="L3" i="35"/>
  <c r="F2" i="35"/>
  <c r="E2" i="35"/>
  <c r="Q29" i="34"/>
  <c r="Q26" i="34"/>
  <c r="V20" i="34"/>
  <c r="Q20" i="34"/>
  <c r="V17" i="34"/>
  <c r="Q17" i="34"/>
  <c r="E6" i="34"/>
  <c r="E5" i="34"/>
  <c r="K130" i="33"/>
  <c r="F130" i="33"/>
  <c r="E130" i="33"/>
  <c r="K129" i="33"/>
  <c r="F129" i="33"/>
  <c r="E129" i="33"/>
  <c r="K128" i="33"/>
  <c r="F128" i="33"/>
  <c r="E128" i="33"/>
  <c r="K127" i="33"/>
  <c r="F127" i="33"/>
  <c r="E127" i="33"/>
  <c r="K126" i="33"/>
  <c r="F126" i="33"/>
  <c r="E126" i="33"/>
  <c r="K123" i="33"/>
  <c r="F123" i="33"/>
  <c r="E123" i="33"/>
  <c r="E124" i="33" s="1"/>
  <c r="K120" i="33"/>
  <c r="F120" i="33"/>
  <c r="E120" i="33"/>
  <c r="E121" i="33" s="1"/>
  <c r="K117" i="33"/>
  <c r="F117" i="33"/>
  <c r="E117" i="33"/>
  <c r="E118" i="33" s="1"/>
  <c r="K116" i="33"/>
  <c r="F116" i="33"/>
  <c r="E116" i="33"/>
  <c r="K115" i="33"/>
  <c r="F115" i="33"/>
  <c r="E115" i="33"/>
  <c r="K114" i="33"/>
  <c r="F114" i="33"/>
  <c r="E114" i="33"/>
  <c r="K113" i="33"/>
  <c r="F113" i="33"/>
  <c r="E113" i="33"/>
  <c r="K112" i="33"/>
  <c r="F112" i="33"/>
  <c r="E112" i="33"/>
  <c r="K111" i="33"/>
  <c r="F111" i="33"/>
  <c r="E111" i="33"/>
  <c r="K110" i="33"/>
  <c r="F110" i="33"/>
  <c r="E110" i="33"/>
  <c r="K109" i="33"/>
  <c r="F109" i="33"/>
  <c r="E109" i="33"/>
  <c r="K108" i="33"/>
  <c r="F108" i="33"/>
  <c r="E108" i="33"/>
  <c r="K107" i="33"/>
  <c r="F107" i="33"/>
  <c r="E107" i="33"/>
  <c r="K106" i="33"/>
  <c r="F106" i="33"/>
  <c r="E106" i="33"/>
  <c r="K105" i="33"/>
  <c r="F105" i="33"/>
  <c r="E105" i="33"/>
  <c r="K104" i="33"/>
  <c r="F104" i="33"/>
  <c r="E104" i="33"/>
  <c r="K103" i="33"/>
  <c r="F103" i="33"/>
  <c r="E103" i="33"/>
  <c r="K102" i="33"/>
  <c r="F102" i="33"/>
  <c r="E102" i="33"/>
  <c r="E100" i="33"/>
  <c r="K99" i="33"/>
  <c r="F99" i="33"/>
  <c r="E99" i="33"/>
  <c r="K98" i="33"/>
  <c r="F98" i="33"/>
  <c r="E98" i="33"/>
  <c r="K97" i="33"/>
  <c r="F97" i="33"/>
  <c r="E97" i="33"/>
  <c r="K96" i="33"/>
  <c r="F96" i="33"/>
  <c r="E96" i="33"/>
  <c r="K95" i="33"/>
  <c r="F95" i="33"/>
  <c r="E95" i="33"/>
  <c r="K94" i="33"/>
  <c r="F94" i="33"/>
  <c r="E94" i="33"/>
  <c r="K93" i="33"/>
  <c r="F93" i="33"/>
  <c r="E93" i="33"/>
  <c r="K92" i="33"/>
  <c r="F92" i="33"/>
  <c r="E92" i="33"/>
  <c r="K91" i="33"/>
  <c r="F91" i="33"/>
  <c r="E91" i="33"/>
  <c r="K90" i="33"/>
  <c r="F90" i="33"/>
  <c r="E90" i="33"/>
  <c r="K89" i="33"/>
  <c r="F89" i="33"/>
  <c r="E89" i="33"/>
  <c r="K88" i="33"/>
  <c r="F88" i="33"/>
  <c r="E88" i="33"/>
  <c r="K87" i="33"/>
  <c r="J87" i="33"/>
  <c r="I87" i="33"/>
  <c r="H87" i="33"/>
  <c r="F87" i="33"/>
  <c r="E87" i="33"/>
  <c r="K86" i="33"/>
  <c r="F86" i="33"/>
  <c r="E86" i="33"/>
  <c r="K85" i="33"/>
  <c r="F85" i="33"/>
  <c r="E85" i="33"/>
  <c r="K84" i="33"/>
  <c r="F84" i="33"/>
  <c r="E84" i="33"/>
  <c r="K83" i="33"/>
  <c r="F83" i="33"/>
  <c r="E83" i="33"/>
  <c r="K82" i="33"/>
  <c r="F82" i="33"/>
  <c r="E82" i="33"/>
  <c r="K81" i="33"/>
  <c r="F81" i="33"/>
  <c r="E81" i="33"/>
  <c r="K80" i="33"/>
  <c r="F80" i="33"/>
  <c r="E80" i="33"/>
  <c r="K79" i="33"/>
  <c r="F79" i="33"/>
  <c r="E79" i="33"/>
  <c r="K78" i="33"/>
  <c r="F78" i="33"/>
  <c r="E78" i="33"/>
  <c r="K77" i="33"/>
  <c r="F77" i="33"/>
  <c r="E77" i="33"/>
  <c r="K76" i="33"/>
  <c r="F76" i="33"/>
  <c r="E76" i="33"/>
  <c r="K75" i="33"/>
  <c r="F75" i="33"/>
  <c r="E75" i="33"/>
  <c r="K74" i="33"/>
  <c r="F74" i="33"/>
  <c r="E74" i="33"/>
  <c r="K73" i="33"/>
  <c r="F73" i="33"/>
  <c r="E73" i="33"/>
  <c r="K72" i="33"/>
  <c r="F72" i="33"/>
  <c r="E72" i="33"/>
  <c r="L69" i="33"/>
  <c r="K69" i="33"/>
  <c r="J69" i="33"/>
  <c r="I69" i="33"/>
  <c r="H69" i="33"/>
  <c r="F69" i="33"/>
  <c r="E69" i="33"/>
  <c r="E70" i="33" s="1"/>
  <c r="L70" i="33" s="1"/>
  <c r="M68" i="33"/>
  <c r="L68" i="33"/>
  <c r="K68" i="33"/>
  <c r="F68" i="33"/>
  <c r="E68" i="33"/>
  <c r="L67" i="33"/>
  <c r="K67" i="33"/>
  <c r="F67" i="33"/>
  <c r="E67" i="33"/>
  <c r="M66" i="33"/>
  <c r="K66" i="33"/>
  <c r="F66" i="33"/>
  <c r="E66" i="33"/>
  <c r="L66" i="33" s="1"/>
  <c r="K65" i="33"/>
  <c r="F65" i="33"/>
  <c r="E65" i="33"/>
  <c r="L65" i="33" s="1"/>
  <c r="K64" i="33"/>
  <c r="F64" i="33"/>
  <c r="E64" i="33"/>
  <c r="L64" i="33" s="1"/>
  <c r="K63" i="33"/>
  <c r="F63" i="33"/>
  <c r="E63" i="33"/>
  <c r="L63" i="33" s="1"/>
  <c r="K62" i="33"/>
  <c r="F62" i="33"/>
  <c r="E62" i="33"/>
  <c r="L62" i="33" s="1"/>
  <c r="K61" i="33"/>
  <c r="F61" i="33"/>
  <c r="E61" i="33"/>
  <c r="L61" i="33" s="1"/>
  <c r="K60" i="33"/>
  <c r="F60" i="33"/>
  <c r="E60" i="33"/>
  <c r="L60" i="33" s="1"/>
  <c r="K59" i="33"/>
  <c r="F59" i="33"/>
  <c r="E59" i="33"/>
  <c r="L59" i="33" s="1"/>
  <c r="K58" i="33"/>
  <c r="F58" i="33"/>
  <c r="E58" i="33"/>
  <c r="L58" i="33" s="1"/>
  <c r="K57" i="33"/>
  <c r="F57" i="33"/>
  <c r="E57" i="33"/>
  <c r="L57" i="33" s="1"/>
  <c r="K56" i="33"/>
  <c r="F56" i="33"/>
  <c r="E56" i="33"/>
  <c r="L56" i="33" s="1"/>
  <c r="K55" i="33"/>
  <c r="F55" i="33"/>
  <c r="E55" i="33"/>
  <c r="L55" i="33" s="1"/>
  <c r="K54" i="33"/>
  <c r="F54" i="33"/>
  <c r="E54" i="33"/>
  <c r="L54" i="33" s="1"/>
  <c r="K53" i="33"/>
  <c r="F53" i="33"/>
  <c r="E53" i="33"/>
  <c r="L53" i="33" s="1"/>
  <c r="K52" i="33"/>
  <c r="F52" i="33"/>
  <c r="E52" i="33"/>
  <c r="L52" i="33" s="1"/>
  <c r="K51" i="33"/>
  <c r="F51" i="33"/>
  <c r="E51" i="33"/>
  <c r="L51" i="33" s="1"/>
  <c r="K50" i="33"/>
  <c r="F50" i="33"/>
  <c r="E50" i="33"/>
  <c r="L50" i="33" s="1"/>
  <c r="K49" i="33"/>
  <c r="F49" i="33"/>
  <c r="E49" i="33"/>
  <c r="L49" i="33" s="1"/>
  <c r="K48" i="33"/>
  <c r="F48" i="33"/>
  <c r="E48" i="33"/>
  <c r="L48" i="33" s="1"/>
  <c r="K47" i="33"/>
  <c r="F47" i="33"/>
  <c r="E47" i="33"/>
  <c r="L47" i="33" s="1"/>
  <c r="K46" i="33"/>
  <c r="F46" i="33"/>
  <c r="E46" i="33"/>
  <c r="L46" i="33" s="1"/>
  <c r="K45" i="33"/>
  <c r="F45" i="33"/>
  <c r="E45" i="33"/>
  <c r="L45" i="33" s="1"/>
  <c r="K44" i="33"/>
  <c r="F44" i="33"/>
  <c r="E44" i="33"/>
  <c r="L44" i="33" s="1"/>
  <c r="K43" i="33"/>
  <c r="F43" i="33"/>
  <c r="E43" i="33"/>
  <c r="L43" i="33" s="1"/>
  <c r="K42" i="33"/>
  <c r="F42" i="33"/>
  <c r="E42" i="33"/>
  <c r="L42" i="33" s="1"/>
  <c r="K41" i="33"/>
  <c r="F41" i="33"/>
  <c r="E41" i="33"/>
  <c r="L41" i="33" s="1"/>
  <c r="L40" i="33"/>
  <c r="L39" i="33"/>
  <c r="L38" i="33"/>
  <c r="L37" i="33"/>
  <c r="L36" i="33"/>
  <c r="L35" i="33"/>
  <c r="L34" i="33"/>
  <c r="K33" i="33"/>
  <c r="J33" i="33"/>
  <c r="I33" i="33"/>
  <c r="H33" i="33"/>
  <c r="F33" i="33"/>
  <c r="E33" i="33"/>
  <c r="B34" i="33" s="1"/>
  <c r="L32" i="33"/>
  <c r="K32" i="33"/>
  <c r="F32" i="33"/>
  <c r="E32" i="33"/>
  <c r="K31" i="33"/>
  <c r="F31" i="33"/>
  <c r="E31" i="33"/>
  <c r="K30" i="33"/>
  <c r="F30" i="33"/>
  <c r="E30" i="33"/>
  <c r="H27" i="33"/>
  <c r="H26" i="33"/>
  <c r="H25" i="33"/>
  <c r="E22"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4" i="4"/>
  <c r="Q14" i="4"/>
  <c r="R13" i="4"/>
  <c r="Q13" i="4"/>
  <c r="E13" i="4"/>
  <c r="P14"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0"/>
  <c r="AL46" i="28"/>
  <c r="AL7" i="27"/>
  <c r="AL8" i="25"/>
  <c r="AL7" i="24"/>
  <c r="AL46" i="21"/>
  <c r="AL46" i="27"/>
  <c r="AL46" i="24"/>
  <c r="AL7" i="23"/>
  <c r="AT47" i="31"/>
  <c r="AL46" i="23"/>
  <c r="AL7" i="22"/>
  <c r="AT7" i="31"/>
  <c r="AT47" i="30"/>
  <c r="AL7" i="28"/>
  <c r="AL48" i="25"/>
  <c r="AL46" i="22"/>
  <c r="AL7" i="21"/>
  <c r="AV8" i="20"/>
  <c r="AV51" i="20"/>
  <c r="AN49" i="18"/>
  <c r="AN49" i="17"/>
  <c r="AN49" i="16"/>
  <c r="AN49" i="15"/>
  <c r="AN8" i="14"/>
  <c r="AN49" i="13"/>
  <c r="AN8" i="12"/>
  <c r="AN49" i="11"/>
  <c r="AR8" i="19"/>
  <c r="AN8" i="18"/>
  <c r="AN8" i="17"/>
  <c r="AN8" i="16"/>
  <c r="AR56" i="19"/>
  <c r="AR55" i="19"/>
  <c r="AN8" i="15"/>
  <c r="AN49" i="14"/>
  <c r="AN8" i="13"/>
  <c r="AN49" i="12"/>
  <c r="AN8" i="11"/>
  <c r="J13" i="3"/>
  <c r="H46" i="51" l="1"/>
  <c r="K55" i="19"/>
  <c r="U54" i="19"/>
  <c r="K8" i="15"/>
  <c r="S8" i="15" s="1"/>
  <c r="S7" i="15"/>
  <c r="K8" i="18"/>
  <c r="S8" i="18" s="1"/>
  <c r="S7" i="18"/>
  <c r="S47" i="11"/>
  <c r="J48" i="11"/>
  <c r="J48" i="12"/>
  <c r="S47" i="12"/>
  <c r="I47" i="17"/>
  <c r="J48" i="17"/>
  <c r="S47" i="15"/>
  <c r="J48" i="15"/>
  <c r="J7" i="11"/>
  <c r="S6" i="11"/>
  <c r="K8" i="13"/>
  <c r="S8" i="13" s="1"/>
  <c r="S7" i="13"/>
  <c r="S5" i="21"/>
  <c r="J6" i="21"/>
  <c r="I9" i="45"/>
  <c r="J10" i="38"/>
  <c r="J25" i="33"/>
  <c r="J10" i="37"/>
  <c r="K9" i="50"/>
  <c r="K26" i="40"/>
  <c r="K7" i="39"/>
  <c r="N10" i="35"/>
  <c r="H23" i="34"/>
  <c r="I47" i="18"/>
  <c r="J48" i="18"/>
  <c r="J50" i="20"/>
  <c r="K51" i="20"/>
  <c r="S51" i="20" s="1"/>
  <c r="I49" i="20"/>
  <c r="S47" i="13"/>
  <c r="J48" i="13"/>
  <c r="S6" i="12"/>
  <c r="J7" i="12"/>
  <c r="K8" i="19"/>
  <c r="U7" i="19"/>
  <c r="P13" i="4"/>
  <c r="I10" i="45"/>
  <c r="K27" i="40"/>
  <c r="K10" i="50"/>
  <c r="K8" i="39"/>
  <c r="N11" i="35"/>
  <c r="J11" i="38"/>
  <c r="H24" i="34"/>
  <c r="J26" i="33"/>
  <c r="J11" i="37"/>
  <c r="F209" i="48"/>
  <c r="F87" i="48"/>
  <c r="F270" i="48"/>
  <c r="F148" i="48"/>
  <c r="F24" i="48"/>
  <c r="G212" i="48"/>
  <c r="G90" i="48"/>
  <c r="G273" i="48"/>
  <c r="G151" i="48"/>
  <c r="G27" i="48"/>
  <c r="O19" i="64"/>
  <c r="G276" i="48"/>
  <c r="G154" i="48"/>
  <c r="G30" i="48"/>
  <c r="G215" i="48"/>
  <c r="G93" i="48"/>
  <c r="F218" i="48"/>
  <c r="F96" i="48"/>
  <c r="F279" i="48"/>
  <c r="F157" i="48"/>
  <c r="F33" i="48"/>
  <c r="G282" i="48"/>
  <c r="G160" i="48"/>
  <c r="G36" i="48"/>
  <c r="G221" i="48"/>
  <c r="G99" i="48"/>
  <c r="F224" i="48"/>
  <c r="F102" i="48"/>
  <c r="F285" i="48"/>
  <c r="F163" i="48"/>
  <c r="F39" i="48"/>
  <c r="G288" i="48"/>
  <c r="G166" i="48"/>
  <c r="G42" i="48"/>
  <c r="G227" i="48"/>
  <c r="G105" i="48"/>
  <c r="F230" i="48"/>
  <c r="F108" i="48"/>
  <c r="F291" i="48"/>
  <c r="F169" i="48"/>
  <c r="F45" i="48"/>
  <c r="G294" i="48"/>
  <c r="G172" i="48"/>
  <c r="G48" i="48"/>
  <c r="G233" i="48"/>
  <c r="G111" i="48"/>
  <c r="AC42" i="25"/>
  <c r="G236" i="48"/>
  <c r="G114" i="48"/>
  <c r="G297" i="48"/>
  <c r="G175" i="48"/>
  <c r="G51" i="48"/>
  <c r="AC41" i="21"/>
  <c r="F300" i="48"/>
  <c r="F178" i="48"/>
  <c r="F54" i="48"/>
  <c r="F239" i="48"/>
  <c r="F117" i="48"/>
  <c r="J45" i="22"/>
  <c r="S44" i="22"/>
  <c r="G242" i="48"/>
  <c r="G120" i="48"/>
  <c r="G303" i="48"/>
  <c r="G181" i="48"/>
  <c r="G57" i="48"/>
  <c r="AC41" i="23"/>
  <c r="F306" i="48"/>
  <c r="F184" i="48"/>
  <c r="F60" i="48"/>
  <c r="F245" i="48"/>
  <c r="F123" i="48"/>
  <c r="S44" i="24"/>
  <c r="J45" i="24"/>
  <c r="G248" i="48"/>
  <c r="G126" i="48"/>
  <c r="G309" i="48"/>
  <c r="G187" i="48"/>
  <c r="G63" i="48"/>
  <c r="AD46" i="26"/>
  <c r="F312" i="48"/>
  <c r="F190" i="48"/>
  <c r="F66" i="48"/>
  <c r="F251" i="48"/>
  <c r="F129" i="48"/>
  <c r="J46" i="30"/>
  <c r="S45" i="30"/>
  <c r="G254" i="48"/>
  <c r="G132" i="48"/>
  <c r="G315" i="48"/>
  <c r="G193" i="48"/>
  <c r="G69" i="48"/>
  <c r="AG42" i="31"/>
  <c r="F318" i="48"/>
  <c r="F196" i="48"/>
  <c r="F72" i="48"/>
  <c r="F257" i="48"/>
  <c r="F135" i="48"/>
  <c r="G260" i="48"/>
  <c r="G138" i="48"/>
  <c r="G321" i="48"/>
  <c r="G199" i="48"/>
  <c r="G75" i="48"/>
  <c r="AC41" i="27"/>
  <c r="F324" i="48"/>
  <c r="F202" i="48"/>
  <c r="F78" i="48"/>
  <c r="F263" i="48"/>
  <c r="F141" i="48"/>
  <c r="S44" i="28"/>
  <c r="J45" i="28"/>
  <c r="G266" i="48"/>
  <c r="G144" i="48"/>
  <c r="G327" i="48"/>
  <c r="G205" i="48"/>
  <c r="G81" i="48"/>
  <c r="AD46" i="29"/>
  <c r="D35" i="7"/>
  <c r="AD43" i="12"/>
  <c r="S45" i="13"/>
  <c r="AD46" i="13"/>
  <c r="AD43" i="14"/>
  <c r="AD44" i="14"/>
  <c r="S46" i="16"/>
  <c r="I10" i="50"/>
  <c r="I11" i="37"/>
  <c r="I27" i="40"/>
  <c r="I8" i="39"/>
  <c r="M11" i="35"/>
  <c r="H15" i="34"/>
  <c r="H10" i="45"/>
  <c r="I11" i="38"/>
  <c r="I26" i="33"/>
  <c r="K11" i="50"/>
  <c r="J12" i="37"/>
  <c r="N12" i="35"/>
  <c r="H25" i="34"/>
  <c r="K28" i="40"/>
  <c r="K9" i="39"/>
  <c r="I11" i="45"/>
  <c r="J12" i="38"/>
  <c r="J27" i="33"/>
  <c r="D34" i="7"/>
  <c r="S6" i="13"/>
  <c r="S43" i="13"/>
  <c r="S44" i="13"/>
  <c r="AD45" i="13"/>
  <c r="J7" i="14"/>
  <c r="S46" i="14"/>
  <c r="I47" i="14" s="1"/>
  <c r="S6" i="15"/>
  <c r="S7" i="16"/>
  <c r="S45" i="16"/>
  <c r="AD46" i="16"/>
  <c r="S7" i="17"/>
  <c r="I6" i="20"/>
  <c r="K8" i="20"/>
  <c r="S8" i="20" s="1"/>
  <c r="J6" i="22"/>
  <c r="S5" i="22"/>
  <c r="S5" i="24"/>
  <c r="J6" i="24"/>
  <c r="I9" i="39"/>
  <c r="I11" i="50"/>
  <c r="H11" i="45"/>
  <c r="I12" i="38"/>
  <c r="H16" i="34"/>
  <c r="I27" i="33"/>
  <c r="I12" i="37"/>
  <c r="M12" i="35"/>
  <c r="I28" i="40"/>
  <c r="G270" i="48"/>
  <c r="G148" i="48"/>
  <c r="G24" i="48"/>
  <c r="G2" i="48"/>
  <c r="G5" i="48"/>
  <c r="G209" i="48"/>
  <c r="G87" i="48"/>
  <c r="F212" i="48"/>
  <c r="F90" i="48"/>
  <c r="F273" i="48"/>
  <c r="F151" i="48"/>
  <c r="F27" i="48"/>
  <c r="F276" i="48"/>
  <c r="F154" i="48"/>
  <c r="F30" i="48"/>
  <c r="F215" i="48"/>
  <c r="F93" i="48"/>
  <c r="G218" i="48"/>
  <c r="G96" i="48"/>
  <c r="G279" i="48"/>
  <c r="G157" i="48"/>
  <c r="G33" i="48"/>
  <c r="F282" i="48"/>
  <c r="F160" i="48"/>
  <c r="F36" i="48"/>
  <c r="F221" i="48"/>
  <c r="F99" i="48"/>
  <c r="G224" i="48"/>
  <c r="G102" i="48"/>
  <c r="G285" i="48"/>
  <c r="G163" i="48"/>
  <c r="G39" i="48"/>
  <c r="F288" i="48"/>
  <c r="F166" i="48"/>
  <c r="F42" i="48"/>
  <c r="F227" i="48"/>
  <c r="F105" i="48"/>
  <c r="G230" i="48"/>
  <c r="G108" i="48"/>
  <c r="G291" i="48"/>
  <c r="G169" i="48"/>
  <c r="G45" i="48"/>
  <c r="F294" i="48"/>
  <c r="F172" i="48"/>
  <c r="F48" i="48"/>
  <c r="F233" i="48"/>
  <c r="F111" i="48"/>
  <c r="F236" i="48"/>
  <c r="F114" i="48"/>
  <c r="F297" i="48"/>
  <c r="F175" i="48"/>
  <c r="F51" i="48"/>
  <c r="S44" i="21"/>
  <c r="J45" i="21"/>
  <c r="G300" i="48"/>
  <c r="G178" i="48"/>
  <c r="G54" i="48"/>
  <c r="G239" i="48"/>
  <c r="G117" i="48"/>
  <c r="AC41" i="22"/>
  <c r="F242" i="48"/>
  <c r="F120" i="48"/>
  <c r="F303" i="48"/>
  <c r="F181" i="48"/>
  <c r="F57" i="48"/>
  <c r="J45" i="23"/>
  <c r="S44" i="23"/>
  <c r="G306" i="48"/>
  <c r="G184" i="48"/>
  <c r="G60" i="48"/>
  <c r="G245" i="48"/>
  <c r="G123" i="48"/>
  <c r="AC41" i="24"/>
  <c r="F248" i="48"/>
  <c r="F126" i="48"/>
  <c r="F309" i="48"/>
  <c r="F187" i="48"/>
  <c r="F63" i="48"/>
  <c r="G312" i="48"/>
  <c r="G190" i="48"/>
  <c r="G66" i="48"/>
  <c r="G251" i="48"/>
  <c r="G129" i="48"/>
  <c r="AG42" i="30"/>
  <c r="F254" i="48"/>
  <c r="F132" i="48"/>
  <c r="F315" i="48"/>
  <c r="F193" i="48"/>
  <c r="F69" i="48"/>
  <c r="S45" i="31"/>
  <c r="J46" i="31"/>
  <c r="G318" i="48"/>
  <c r="G196" i="48"/>
  <c r="G72" i="48"/>
  <c r="G257" i="48"/>
  <c r="G135" i="48"/>
  <c r="AD46" i="32"/>
  <c r="F260" i="48"/>
  <c r="F138" i="48"/>
  <c r="F321" i="48"/>
  <c r="F199" i="48"/>
  <c r="F75" i="48"/>
  <c r="S44" i="27"/>
  <c r="J45" i="27"/>
  <c r="G324" i="48"/>
  <c r="G202" i="48"/>
  <c r="G78" i="48"/>
  <c r="G263" i="48"/>
  <c r="G141" i="48"/>
  <c r="AC41" i="28"/>
  <c r="F266" i="48"/>
  <c r="F144" i="48"/>
  <c r="F327" i="48"/>
  <c r="F205" i="48"/>
  <c r="F81" i="48"/>
  <c r="D37" i="7"/>
  <c r="D38" i="7" s="1"/>
  <c r="D39" i="7" s="1"/>
  <c r="AD43" i="11"/>
  <c r="AD43" i="15"/>
  <c r="S43" i="16"/>
  <c r="S44" i="16"/>
  <c r="AD45" i="16"/>
  <c r="L23" i="64"/>
  <c r="G24" i="64"/>
  <c r="K48" i="25"/>
  <c r="S48" i="25" s="1"/>
  <c r="I46" i="25"/>
  <c r="J47" i="25"/>
  <c r="AD43" i="16"/>
  <c r="AD44" i="16"/>
  <c r="AD43" i="17"/>
  <c r="AD43" i="18"/>
  <c r="S5" i="27"/>
  <c r="J6" i="27"/>
  <c r="J6" i="28"/>
  <c r="S5" i="28"/>
  <c r="S5" i="30"/>
  <c r="J6" i="30"/>
  <c r="J6" i="31"/>
  <c r="S5" i="31"/>
  <c r="J6" i="23"/>
  <c r="L33" i="33"/>
  <c r="H15" i="43"/>
  <c r="I36" i="43"/>
  <c r="H36" i="43" s="1"/>
  <c r="I48" i="43"/>
  <c r="H48" i="43" s="1"/>
  <c r="H49" i="43"/>
  <c r="J46" i="51"/>
  <c r="J47" i="51"/>
  <c r="J45" i="51" s="1"/>
  <c r="E5" i="2" s="1"/>
  <c r="G51" i="51"/>
  <c r="G52" i="51"/>
  <c r="F2" i="54"/>
  <c r="F2" i="55"/>
  <c r="E3" i="62"/>
  <c r="C3" i="62" s="1"/>
  <c r="D5" i="45" s="1"/>
  <c r="E5" i="62"/>
  <c r="C5" i="62" s="1"/>
  <c r="D5" i="46" s="1"/>
  <c r="AA12" i="63"/>
  <c r="N12" i="63" s="1"/>
  <c r="J16" i="45" s="1"/>
  <c r="AA16" i="63"/>
  <c r="N16" i="63" s="1"/>
  <c r="J21" i="45" s="1"/>
  <c r="G46" i="51"/>
  <c r="H51" i="51"/>
  <c r="E5" i="54"/>
  <c r="E5" i="55"/>
  <c r="E30" i="62"/>
  <c r="C30" i="62" s="1"/>
  <c r="D14" i="47" s="1"/>
  <c r="E32" i="62"/>
  <c r="C32" i="62" s="1"/>
  <c r="F10" i="54"/>
  <c r="E4" i="62"/>
  <c r="C4" i="62" s="1"/>
  <c r="D4" i="7" s="1"/>
  <c r="U148" i="63"/>
  <c r="M148" i="63" s="1"/>
  <c r="E12" i="46" s="1"/>
  <c r="AA15" i="63"/>
  <c r="N15" i="63" s="1"/>
  <c r="J19" i="45" s="1"/>
  <c r="U14" i="63"/>
  <c r="M14" i="63" s="1"/>
  <c r="E18" i="45" s="1"/>
  <c r="U15" i="63"/>
  <c r="M15" i="63" s="1"/>
  <c r="E19" i="45" s="1"/>
  <c r="AA11" i="63"/>
  <c r="N11" i="63" s="1"/>
  <c r="J15" i="45" s="1"/>
  <c r="J49" i="51"/>
  <c r="J50" i="51"/>
  <c r="J51" i="51"/>
  <c r="J52" i="51"/>
  <c r="E6" i="62"/>
  <c r="C6" i="62" s="1"/>
  <c r="E21" i="33" s="1"/>
  <c r="E29" i="62"/>
  <c r="C29" i="62" s="1"/>
  <c r="D5" i="49" s="1"/>
  <c r="K46" i="23" l="1"/>
  <c r="S46" i="23" s="1"/>
  <c r="S45" i="23"/>
  <c r="S45" i="21"/>
  <c r="K46" i="21"/>
  <c r="S46" i="21" s="1"/>
  <c r="S45" i="28"/>
  <c r="K46" i="28"/>
  <c r="S46" i="28" s="1"/>
  <c r="S48" i="13"/>
  <c r="K49" i="13"/>
  <c r="S49" i="13" s="1"/>
  <c r="K7" i="21"/>
  <c r="S7" i="21" s="1"/>
  <c r="S6" i="21"/>
  <c r="S48" i="17"/>
  <c r="K49" i="17"/>
  <c r="S49" i="17" s="1"/>
  <c r="S48" i="11"/>
  <c r="K49" i="11"/>
  <c r="S49" i="11" s="1"/>
  <c r="F5" i="41"/>
  <c r="F5" i="44"/>
  <c r="F5" i="43"/>
  <c r="F5" i="42"/>
  <c r="S6" i="31"/>
  <c r="K7" i="31"/>
  <c r="S7" i="31" s="1"/>
  <c r="S6" i="28"/>
  <c r="K7" i="28"/>
  <c r="S7" i="28" s="1"/>
  <c r="S46" i="30"/>
  <c r="K47" i="30"/>
  <c r="S47" i="30" s="1"/>
  <c r="K46" i="24"/>
  <c r="S46" i="24" s="1"/>
  <c r="S45" i="24"/>
  <c r="L9" i="19"/>
  <c r="U9" i="19" s="1"/>
  <c r="U8" i="19"/>
  <c r="S48" i="18"/>
  <c r="K49" i="18"/>
  <c r="S49" i="18" s="1"/>
  <c r="K8" i="11"/>
  <c r="S8" i="11" s="1"/>
  <c r="S7" i="11"/>
  <c r="I31" i="33"/>
  <c r="I136" i="33" s="1"/>
  <c r="H31" i="33"/>
  <c r="H136" i="33" s="1"/>
  <c r="J31" i="33"/>
  <c r="J136" i="33" s="1"/>
  <c r="S6" i="30"/>
  <c r="K7" i="30"/>
  <c r="S7" i="30" s="1"/>
  <c r="S6" i="27"/>
  <c r="K7" i="27"/>
  <c r="S7" i="27" s="1"/>
  <c r="D43" i="7"/>
  <c r="D44" i="7" s="1"/>
  <c r="D45" i="7" s="1"/>
  <c r="D41" i="7"/>
  <c r="D40" i="7"/>
  <c r="K46" i="27"/>
  <c r="S46" i="27" s="1"/>
  <c r="S45" i="27"/>
  <c r="K7" i="22"/>
  <c r="S7" i="22" s="1"/>
  <c r="S6" i="22"/>
  <c r="J48" i="14"/>
  <c r="S47" i="14"/>
  <c r="S7" i="12"/>
  <c r="K8" i="12"/>
  <c r="S8" i="12" s="1"/>
  <c r="S48" i="15"/>
  <c r="K49" i="15"/>
  <c r="S49" i="15" s="1"/>
  <c r="D4" i="4"/>
  <c r="B5" i="1"/>
  <c r="I58" i="43"/>
  <c r="H58" i="43" s="1"/>
  <c r="K7" i="23"/>
  <c r="S7" i="23" s="1"/>
  <c r="S6" i="23"/>
  <c r="H25" i="64"/>
  <c r="L25" i="64" s="1"/>
  <c r="L24" i="64"/>
  <c r="S46" i="31"/>
  <c r="K47" i="31"/>
  <c r="S47" i="31" s="1"/>
  <c r="S6" i="24"/>
  <c r="K7" i="24"/>
  <c r="S7" i="24" s="1"/>
  <c r="S7" i="14"/>
  <c r="K8" i="14"/>
  <c r="S8" i="14" s="1"/>
  <c r="I47" i="16"/>
  <c r="J48" i="16"/>
  <c r="S45" i="22"/>
  <c r="K46" i="22"/>
  <c r="S46" i="22" s="1"/>
  <c r="H9" i="45"/>
  <c r="I26" i="40"/>
  <c r="I9" i="50"/>
  <c r="I7" i="39"/>
  <c r="M10" i="35"/>
  <c r="I10" i="38"/>
  <c r="H14" i="34"/>
  <c r="I25" i="33"/>
  <c r="I10" i="37"/>
  <c r="K49" i="12"/>
  <c r="S49" i="12" s="1"/>
  <c r="S48" i="12"/>
  <c r="U55" i="19"/>
  <c r="L56" i="19"/>
  <c r="U56" i="19" s="1"/>
  <c r="D51" i="7" l="1"/>
  <c r="D49" i="7"/>
  <c r="D46" i="7"/>
  <c r="D48" i="7"/>
  <c r="D47" i="7"/>
  <c r="S48" i="16"/>
  <c r="K49" i="16"/>
  <c r="S49" i="16" s="1"/>
  <c r="K49" i="14"/>
  <c r="S49" i="14" s="1"/>
  <c r="S48" i="1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<sst xmlns="http://schemas.openxmlformats.org/spreadsheetml/2006/main" count="21345" uniqueCount="5427">
  <si>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</si>
  <si>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</si>
  <si>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</si>
  <si>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</si>
  <si>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</si>
  <si>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</si>
  <si>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</si>
  <si>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</si>
  <si>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</si>
  <si>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</si>
  <si>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</si>
  <si>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</si>
  <si>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</si>
  <si>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26371987</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</si>
  <si>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</si>
  <si>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</si>
  <si>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</si>
  <si>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</si>
  <si>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</si>
  <si>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</si>
  <si>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</si>
  <si>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</si>
  <si>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</si>
  <si>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</si>
  <si>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</si>
  <si>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</si>
  <si>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</si>
  <si>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</si>
  <si>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</si>
  <si>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</si>
  <si>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</si>
  <si>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</si>
  <si>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</si>
  <si>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</si>
  <si>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</si>
  <si>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</si>
  <si>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</si>
  <si>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</si>
  <si>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</si>
  <si>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</si>
  <si>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</si>
  <si>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</si>
  <si>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</si>
  <si>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</si>
  <si>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</si>
  <si>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</si>
  <si>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"Михайловское водопроводно-канализационное хозяйство"</t>
  </si>
  <si>
    <t>Наименование (описание) обособленного подразделения</t>
  </si>
  <si>
    <t>ИНН</t>
  </si>
  <si>
    <t>3437000840</t>
  </si>
  <si>
    <t>КПП</t>
  </si>
  <si>
    <t>343701001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</si>
  <si>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</si>
  <si>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</si>
  <si>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</si>
  <si>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</si>
  <si>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</si>
  <si>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</si>
  <si>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</si>
  <si>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</si>
  <si>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</si>
  <si>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</si>
  <si>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</si>
  <si>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</si>
  <si>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</si>
  <si>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</si>
  <si>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</si>
  <si>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</si>
  <si>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</si>
  <si>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403346 Волгоградская область г. Михайловка ул. Карельская, 2 в</t>
  </si>
  <si>
    <t>Фамилия, имя, отчество руководителя</t>
  </si>
  <si>
    <t>Серкин Денис Николаевич</t>
  </si>
  <si>
    <t>Ответственный за заполнение формы</t>
  </si>
  <si>
    <t>Фамилия, имя, отчество</t>
  </si>
  <si>
    <t>Власенко Любовь Николаевна</t>
  </si>
  <si>
    <t>Должность</t>
  </si>
  <si>
    <t>главный экономист</t>
  </si>
  <si>
    <t>Контактный телефон</t>
  </si>
  <si>
    <t>8(84463) 4-03-97</t>
  </si>
  <si>
    <t>E-mail</t>
  </si>
  <si>
    <t>Wlasenko78@yandex.ru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</si>
  <si>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</si>
  <si>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</si>
  <si>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</si>
  <si>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</si>
  <si>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</si>
  <si>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</si>
  <si>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</si>
  <si>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</si>
  <si>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</si>
  <si>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</si>
  <si>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</si>
  <si>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</si>
  <si>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</si>
  <si>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</si>
  <si>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</si>
  <si>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</si>
  <si>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</si>
  <si>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463</t>
  </si>
  <si>
    <t>городской округ город Михайловка</t>
  </si>
  <si>
    <t>18720000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</si>
  <si>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</si>
  <si>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</si>
  <si>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</si>
  <si>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</si>
  <si>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</si>
  <si>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</si>
  <si>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</si>
  <si>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</si>
  <si>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</si>
  <si>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</si>
  <si>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</si>
  <si>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</si>
  <si>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</si>
  <si>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</si>
  <si>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</si>
  <si>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Централизованная система водоснабжения (питьевая вода)</t>
  </si>
  <si>
    <t>diff_1</t>
  </si>
  <si>
    <t>4189677</t>
  </si>
  <si>
    <t>a</t>
  </si>
  <si>
    <t>×</t>
  </si>
  <si>
    <t>Централизованная система водоснабжения (техническая вода)</t>
  </si>
  <si>
    <t>diff_5</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</si>
  <si>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</si>
  <si>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</si>
  <si>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</si>
  <si>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</si>
  <si>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</si>
  <si>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</si>
  <si>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</si>
  <si>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</si>
  <si>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</si>
  <si>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</si>
  <si>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</si>
  <si>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</si>
  <si>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</si>
  <si>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</si>
  <si>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</si>
  <si>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</si>
  <si>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</si>
  <si>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</si>
  <si>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</si>
  <si>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</si>
  <si>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</si>
  <si>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</si>
  <si>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</si>
  <si>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</si>
  <si>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</si>
  <si>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</si>
  <si>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</si>
  <si>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</si>
  <si>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</si>
  <si>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</si>
  <si>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</si>
  <si>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</si>
  <si>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</si>
  <si>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</si>
  <si>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</si>
  <si>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</si>
  <si>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</si>
  <si>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</si>
  <si>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</si>
  <si>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</si>
  <si>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</si>
  <si>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</si>
  <si>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</si>
  <si>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</si>
  <si>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</si>
  <si>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</si>
  <si>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</si>
  <si>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</si>
  <si>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</si>
  <si>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</si>
  <si>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</si>
  <si>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</si>
  <si>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</si>
  <si>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</si>
  <si>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</si>
  <si>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</si>
  <si>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</si>
  <si>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</si>
  <si>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</si>
  <si>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</si>
  <si>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</si>
  <si>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</si>
  <si>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</si>
  <si>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</si>
  <si>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</si>
  <si>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</si>
  <si>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</si>
  <si>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</si>
  <si>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</si>
  <si>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</si>
  <si>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</si>
  <si>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</si>
  <si>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</si>
  <si>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</si>
  <si>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</si>
  <si>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</si>
  <si>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</si>
  <si>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</si>
  <si>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</si>
  <si>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</si>
  <si>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</si>
  <si>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</si>
  <si>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</si>
  <si>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</si>
  <si>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</si>
  <si>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</si>
  <si>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</si>
  <si>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</si>
  <si>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</si>
  <si>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</si>
  <si>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</si>
  <si>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</si>
  <si>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</si>
  <si>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</si>
  <si>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</si>
  <si>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</si>
  <si>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</si>
  <si>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</si>
  <si>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</si>
  <si>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</si>
  <si>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</si>
  <si>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</si>
  <si>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</si>
  <si>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</si>
  <si>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</si>
  <si>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</si>
  <si>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</si>
  <si>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</si>
  <si>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</si>
  <si>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</si>
  <si>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</si>
  <si>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</si>
  <si>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</si>
  <si>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</si>
  <si>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</si>
  <si>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</si>
  <si>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</si>
  <si>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</si>
  <si>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</si>
  <si>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</si>
  <si>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</si>
  <si>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</si>
  <si>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</si>
  <si>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</si>
  <si>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</si>
  <si>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</si>
  <si>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</si>
  <si>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</si>
  <si>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</si>
  <si>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</si>
  <si>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</si>
  <si>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</si>
  <si>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</si>
  <si>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</si>
  <si>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</si>
  <si>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</si>
  <si>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</si>
  <si>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</si>
  <si>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</si>
  <si>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</si>
  <si>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</si>
  <si>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</si>
  <si>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</si>
  <si>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</si>
  <si>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</si>
  <si>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</si>
  <si>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</si>
  <si>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</si>
  <si>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</si>
  <si>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</si>
  <si>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</si>
  <si>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</si>
  <si>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</si>
  <si>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</si>
  <si>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</si>
  <si>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</si>
  <si>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</si>
  <si>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</si>
  <si>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</si>
  <si>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</si>
  <si>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</si>
  <si>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</si>
  <si>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</si>
  <si>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</si>
  <si>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</si>
  <si>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</si>
  <si>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</si>
  <si>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</si>
  <si>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</si>
  <si>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</si>
  <si>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</si>
  <si>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</si>
  <si>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</si>
  <si>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</si>
  <si>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</si>
  <si>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</si>
  <si>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</si>
  <si>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</si>
  <si>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</si>
  <si>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</si>
  <si>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</si>
  <si>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</si>
  <si>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</si>
  <si>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</si>
  <si>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</si>
  <si>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</si>
  <si>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</si>
  <si>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</si>
  <si>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</si>
  <si>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</si>
  <si>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</si>
  <si>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</si>
  <si>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</si>
  <si>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</si>
  <si>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</si>
  <si>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</si>
  <si>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</si>
  <si>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</si>
  <si>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</si>
  <si>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</si>
  <si>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</si>
  <si>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</si>
  <si>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</si>
  <si>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</si>
  <si>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</si>
  <si>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</si>
  <si>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</si>
  <si>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</si>
  <si>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</si>
  <si>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</si>
  <si>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</si>
  <si>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</si>
  <si>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</si>
  <si>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</si>
  <si>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</si>
  <si>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</si>
  <si>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</si>
  <si>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</si>
  <si>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</si>
  <si>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</si>
  <si>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</si>
  <si>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</si>
  <si>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</si>
  <si>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</si>
  <si>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</si>
  <si>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</si>
  <si>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</si>
  <si>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</si>
  <si>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</si>
  <si>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</si>
  <si>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</si>
  <si>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</si>
  <si>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</si>
  <si>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</si>
  <si>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</si>
  <si>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</si>
  <si>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</si>
  <si>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</si>
  <si>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</si>
  <si>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</si>
  <si>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</si>
  <si>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</si>
  <si>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</si>
  <si>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</si>
  <si>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</si>
  <si>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</si>
  <si>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</si>
  <si>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</si>
  <si>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</si>
  <si>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</si>
  <si>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</si>
  <si>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</si>
  <si>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</si>
  <si>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</si>
  <si>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</si>
  <si>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</si>
  <si>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</si>
  <si>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</si>
  <si>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</si>
  <si>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</si>
  <si>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</si>
  <si>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</si>
  <si>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</si>
  <si>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</si>
  <si>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</si>
  <si>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</si>
  <si>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</si>
  <si>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</si>
  <si>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</si>
  <si>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</si>
  <si>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</si>
  <si>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</si>
  <si>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</si>
  <si>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</si>
  <si>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</si>
  <si>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</si>
  <si>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</si>
  <si>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</si>
  <si>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</si>
  <si>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</si>
  <si>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</si>
  <si>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</si>
  <si>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</si>
  <si>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</si>
  <si>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</si>
  <si>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</si>
  <si>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</si>
  <si>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</si>
  <si>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</si>
  <si>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</si>
  <si>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</si>
  <si>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</si>
  <si>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</si>
  <si>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</si>
  <si>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</si>
  <si>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</si>
  <si>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</si>
  <si>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</si>
  <si>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</si>
  <si>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</si>
  <si>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</si>
  <si>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</si>
  <si>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</si>
  <si>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</si>
  <si>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</si>
  <si>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</si>
  <si>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</si>
  <si>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</si>
  <si>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</si>
  <si>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</si>
  <si>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</si>
  <si>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</si>
  <si>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</si>
  <si>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</si>
  <si>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</si>
  <si>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</si>
  <si>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</si>
  <si>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</si>
  <si>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</si>
  <si>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</si>
  <si>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</si>
  <si>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</si>
  <si>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</si>
  <si>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</si>
  <si>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</si>
  <si>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</si>
  <si>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</si>
  <si>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</si>
  <si>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</si>
  <si>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</si>
  <si>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</si>
  <si>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</si>
  <si>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</si>
  <si>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</si>
  <si>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</si>
  <si>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</si>
  <si>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</si>
  <si>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</si>
  <si>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</si>
  <si>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</si>
  <si>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</si>
  <si>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</si>
  <si>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</si>
  <si>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</si>
  <si>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</si>
  <si>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</si>
  <si>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</si>
  <si>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</si>
  <si>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</si>
  <si>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</si>
  <si>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</si>
  <si>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</si>
  <si>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</si>
  <si>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</si>
  <si>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</si>
  <si>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</si>
  <si>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</si>
  <si>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</si>
  <si>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</si>
  <si>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</si>
  <si>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</si>
  <si>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</si>
  <si>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</si>
  <si>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</si>
  <si>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</si>
  <si>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</si>
  <si>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</si>
  <si>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</si>
  <si>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</si>
  <si>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</si>
  <si>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</si>
  <si>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</si>
  <si>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</si>
  <si>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</si>
  <si>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</si>
  <si>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</si>
  <si>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</si>
  <si>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</si>
  <si>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</si>
  <si>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</si>
  <si>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</si>
  <si>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</si>
  <si>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</si>
  <si>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</si>
  <si>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</si>
  <si>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</si>
  <si>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</si>
  <si>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</si>
  <si>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</si>
  <si>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</si>
  <si>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</si>
  <si>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</si>
  <si>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</si>
  <si>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</si>
  <si>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</si>
  <si>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</si>
  <si>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</si>
  <si>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</si>
  <si>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</si>
  <si>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</si>
  <si>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</si>
  <si>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</si>
  <si>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</si>
  <si>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</si>
  <si>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</si>
  <si>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</si>
  <si>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</si>
  <si>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</si>
  <si>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</si>
  <si>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</si>
  <si>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</si>
  <si>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</si>
  <si>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</si>
  <si>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</si>
  <si>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</si>
  <si>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</si>
  <si>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</si>
  <si>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</si>
  <si>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</si>
  <si>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</si>
  <si>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</si>
  <si>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</si>
  <si>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</si>
  <si>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</si>
  <si>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</si>
  <si>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</si>
  <si>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</si>
  <si>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</si>
  <si>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</si>
  <si>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</si>
  <si>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</si>
  <si>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</si>
  <si>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</si>
  <si>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</si>
  <si>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</si>
  <si>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</si>
  <si>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</si>
  <si>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</si>
  <si>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</si>
  <si>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</si>
  <si>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</si>
  <si>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</si>
  <si>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</si>
  <si>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</si>
  <si>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</si>
  <si>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</si>
  <si>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</si>
  <si>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</si>
  <si>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</si>
  <si>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</si>
  <si>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</si>
  <si>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</si>
  <si>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</si>
  <si>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</si>
  <si>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</si>
  <si>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</si>
  <si>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</si>
  <si>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</si>
  <si>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</si>
  <si>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</si>
  <si>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</si>
  <si>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</si>
  <si>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</si>
  <si>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</si>
  <si>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</si>
  <si>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</si>
  <si>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</si>
  <si>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</si>
  <si>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</si>
  <si>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</si>
  <si>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</si>
  <si>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</si>
  <si>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</si>
  <si>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</si>
  <si>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</si>
  <si>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</si>
  <si>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</si>
  <si>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</si>
  <si>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</si>
  <si>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</si>
  <si>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</si>
  <si>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</si>
  <si>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</si>
  <si>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</si>
  <si>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</si>
  <si>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</si>
  <si>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</si>
  <si>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</si>
  <si>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</si>
  <si>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</si>
  <si>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</si>
  <si>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</si>
  <si>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</si>
  <si>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</si>
  <si>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</si>
  <si>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</si>
  <si>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</si>
  <si>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</si>
  <si>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</si>
  <si>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</si>
  <si>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</si>
  <si>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</si>
  <si>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</si>
  <si>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</si>
  <si>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</si>
  <si>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</si>
  <si>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</si>
  <si>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</si>
  <si>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</si>
  <si>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</si>
  <si>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</si>
  <si>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</si>
  <si>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</si>
  <si>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</si>
  <si>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</si>
  <si>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</si>
  <si>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</si>
  <si>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</si>
  <si>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</si>
  <si>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</si>
  <si>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</si>
  <si>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</si>
  <si>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</si>
  <si>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</si>
  <si>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</si>
  <si>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</si>
  <si>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</si>
  <si>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</si>
  <si>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</si>
  <si>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</si>
  <si>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</si>
  <si>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</si>
  <si>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</si>
  <si>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</si>
  <si>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</si>
  <si>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</si>
  <si>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</si>
  <si>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</si>
  <si>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</si>
  <si>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</si>
  <si>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</si>
  <si>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</si>
  <si>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</si>
  <si>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</si>
  <si>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</si>
  <si>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</si>
  <si>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</si>
  <si>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</si>
  <si>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</si>
  <si>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</si>
  <si>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</si>
  <si>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</si>
  <si>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</si>
  <si>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</si>
  <si>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</si>
  <si>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</si>
  <si>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</si>
  <si>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</si>
  <si>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</si>
  <si>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</si>
  <si>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</si>
  <si>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</si>
  <si>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</si>
  <si>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</si>
  <si>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</si>
  <si>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</si>
  <si>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</si>
  <si>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</si>
  <si>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</si>
  <si>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</si>
  <si>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</si>
  <si>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</si>
  <si>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</si>
  <si>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</si>
  <si>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</si>
  <si>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</si>
  <si>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</si>
  <si>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</si>
  <si>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</si>
  <si>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</si>
  <si>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</si>
  <si>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</si>
  <si>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</si>
  <si>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</si>
  <si>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</si>
  <si>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</si>
  <si>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</si>
  <si>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</si>
  <si>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</si>
  <si>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</si>
  <si>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</si>
  <si>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</si>
  <si>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</si>
  <si>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</si>
  <si>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</si>
  <si>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</si>
  <si>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</si>
  <si>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</si>
  <si>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</si>
  <si>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</si>
  <si>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</si>
  <si>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</si>
  <si>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</si>
  <si>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</si>
  <si>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</si>
  <si>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</si>
  <si>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</si>
  <si>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</si>
  <si>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</si>
  <si>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</si>
  <si>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</si>
  <si>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</si>
  <si>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</si>
  <si>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</si>
  <si>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</si>
  <si>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</si>
  <si>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</si>
  <si>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</si>
  <si>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</si>
  <si>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</si>
  <si>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</si>
  <si>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</si>
  <si>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</si>
  <si>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</si>
  <si>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</si>
  <si>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</si>
  <si>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</si>
  <si>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</si>
  <si>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</si>
  <si>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</si>
  <si>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</si>
  <si>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</si>
  <si>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</si>
  <si>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</si>
  <si>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</si>
  <si>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</si>
  <si>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</si>
  <si>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</si>
  <si>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</si>
  <si>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</si>
  <si>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</si>
  <si>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</si>
  <si>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</si>
  <si>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</si>
  <si>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</si>
  <si>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</si>
  <si>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</si>
  <si>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</si>
  <si>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</si>
  <si>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</si>
  <si>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</si>
  <si>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</si>
  <si>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</si>
  <si>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</si>
  <si>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</si>
  <si>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</si>
  <si>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</si>
  <si>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</si>
  <si>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</si>
  <si>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</si>
  <si>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</si>
  <si>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</si>
  <si>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</si>
  <si>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</si>
  <si>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</si>
  <si>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</si>
  <si>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</si>
  <si>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</si>
  <si>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</si>
  <si>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</si>
  <si>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</si>
  <si>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</si>
  <si>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</si>
  <si>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</si>
  <si>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</si>
  <si>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</si>
  <si>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</si>
  <si>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</si>
  <si>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</si>
  <si>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</si>
  <si>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</si>
  <si>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</si>
  <si>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</si>
  <si>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</si>
  <si>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</si>
  <si>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</si>
  <si>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</si>
  <si>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</si>
  <si>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</si>
  <si>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</si>
  <si>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</si>
  <si>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</si>
  <si>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</si>
  <si>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</si>
  <si>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</si>
  <si>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</si>
  <si>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</si>
  <si>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</si>
  <si>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</si>
  <si>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</si>
  <si>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</si>
  <si>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</si>
  <si>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</si>
  <si>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</si>
  <si>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</si>
  <si>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</si>
  <si>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</si>
  <si>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</si>
  <si>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</si>
  <si>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</si>
  <si>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</si>
  <si>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</si>
  <si>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</si>
  <si>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</si>
  <si>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</si>
  <si>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</si>
  <si>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</si>
  <si>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</si>
  <si>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</si>
  <si>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</si>
  <si>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</si>
  <si>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</si>
  <si>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</si>
  <si>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</si>
  <si>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</si>
  <si>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</si>
  <si>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</si>
  <si>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</si>
  <si>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</si>
  <si>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</si>
  <si>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</si>
  <si>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</si>
  <si>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</si>
  <si>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</si>
  <si>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</si>
  <si>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</si>
  <si>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</si>
  <si>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</si>
  <si>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</si>
  <si>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</si>
  <si>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</si>
  <si>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</si>
  <si>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</si>
  <si>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</si>
  <si>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</si>
  <si>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</si>
  <si>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</si>
  <si>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</si>
  <si>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</si>
  <si>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</si>
  <si>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</si>
  <si>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</si>
  <si>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</si>
  <si>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</si>
  <si>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</si>
  <si>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</si>
  <si>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</si>
  <si>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</si>
  <si>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</si>
  <si>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</si>
  <si>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</si>
  <si>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</si>
  <si>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</si>
  <si>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</si>
  <si>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</si>
  <si>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</si>
  <si>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</si>
  <si>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</si>
  <si>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</si>
  <si>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</si>
  <si>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</si>
  <si>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</si>
  <si>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</si>
  <si>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</si>
  <si>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</si>
  <si>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</si>
  <si>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</si>
  <si>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</si>
  <si>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</si>
  <si>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</si>
  <si>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</si>
  <si>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</si>
  <si>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</si>
  <si>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</si>
  <si>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</si>
  <si>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</si>
  <si>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</si>
  <si>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</si>
  <si>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</si>
  <si>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</si>
  <si>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</si>
  <si>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</si>
  <si>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</si>
  <si>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</si>
  <si>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</si>
  <si>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</si>
  <si>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</si>
  <si>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</si>
  <si>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</si>
  <si>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</si>
  <si>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</si>
  <si>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</si>
  <si>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</si>
  <si>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</si>
  <si>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</si>
  <si>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</si>
  <si>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</si>
  <si>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</si>
  <si>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</si>
  <si>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</si>
  <si>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</si>
  <si>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</si>
  <si>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</si>
  <si>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</si>
  <si>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</si>
  <si>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</si>
  <si>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</si>
  <si>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</si>
  <si>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</si>
  <si>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</si>
  <si>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</si>
  <si>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</si>
  <si>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</si>
  <si>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</si>
  <si>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</si>
  <si>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</si>
  <si>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</si>
  <si>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</si>
  <si>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</si>
  <si>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</si>
  <si>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</si>
  <si>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</si>
  <si>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</si>
  <si>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</si>
  <si>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</si>
  <si>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</si>
  <si>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</si>
  <si>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</si>
  <si>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</si>
  <si>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</si>
  <si>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</si>
  <si>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</si>
  <si>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</si>
  <si>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</si>
  <si>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</si>
  <si>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</si>
  <si>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</si>
  <si>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</si>
  <si>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</si>
  <si>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</si>
  <si>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</si>
  <si>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</si>
  <si>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</si>
  <si>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</si>
  <si>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</si>
  <si>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</si>
  <si>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</si>
  <si>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</si>
  <si>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</si>
  <si>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</si>
  <si>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</si>
  <si>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</si>
  <si>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</si>
  <si>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</si>
  <si>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</si>
  <si>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</si>
  <si>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</si>
  <si>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</si>
  <si>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</si>
  <si>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</si>
  <si>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</si>
  <si>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</si>
  <si>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</si>
  <si>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</si>
  <si>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</si>
  <si>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</si>
  <si>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</si>
  <si>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</si>
  <si>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</si>
  <si>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</si>
  <si>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</si>
  <si>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</si>
  <si>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</si>
  <si>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</si>
  <si>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</si>
  <si>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</si>
  <si>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</si>
  <si>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</si>
  <si>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</si>
  <si>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</si>
  <si>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</si>
  <si>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</si>
  <si>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</si>
  <si>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</si>
  <si>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</si>
  <si>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</si>
  <si>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</si>
  <si>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</si>
  <si>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</si>
  <si>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</si>
  <si>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</si>
  <si>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</si>
  <si>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</si>
  <si>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</si>
  <si>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</si>
  <si>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</si>
  <si>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</si>
  <si>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</si>
  <si>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</si>
  <si>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</si>
  <si>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</si>
  <si>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</si>
  <si>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</si>
  <si>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</si>
  <si>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</si>
  <si>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</si>
  <si>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</si>
  <si>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</si>
  <si>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</si>
  <si>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</si>
  <si>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</si>
  <si>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</si>
  <si>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</si>
  <si>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</si>
  <si>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</si>
  <si>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</si>
  <si>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</si>
  <si>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</si>
  <si>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</si>
  <si>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</si>
  <si>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</si>
  <si>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</si>
  <si>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</si>
  <si>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</si>
  <si>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</si>
  <si>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</si>
  <si>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</si>
  <si>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</si>
  <si>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</si>
  <si>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</si>
  <si>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</si>
  <si>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</si>
  <si>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</si>
  <si>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</si>
  <si>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</si>
  <si>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</si>
  <si>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</si>
  <si>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</si>
  <si>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</si>
  <si>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</si>
  <si>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</si>
  <si>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</si>
  <si>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</si>
  <si>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</si>
  <si>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</si>
  <si>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</si>
  <si>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</si>
  <si>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</si>
  <si>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</si>
  <si>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</si>
  <si>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</si>
  <si>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</si>
  <si>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</si>
  <si>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</si>
  <si>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</si>
  <si>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</si>
  <si>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</si>
  <si>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</si>
  <si>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</si>
  <si>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</si>
  <si>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</si>
  <si>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</si>
  <si>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</si>
  <si>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</si>
  <si>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</si>
  <si>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</si>
  <si>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</si>
  <si>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</si>
  <si>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</si>
  <si>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</si>
  <si>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</si>
  <si>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</si>
  <si>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</si>
  <si>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</si>
  <si>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</si>
  <si>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</si>
  <si>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</si>
  <si>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</si>
  <si>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</si>
  <si>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</si>
  <si>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</si>
  <si>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</si>
  <si>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</si>
  <si>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</si>
  <si>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</si>
  <si>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</si>
  <si>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</si>
  <si>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</si>
  <si>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</si>
  <si>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</si>
  <si>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</si>
  <si>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</si>
  <si>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</si>
  <si>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</si>
  <si>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</si>
  <si>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</si>
  <si>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</si>
  <si>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</si>
  <si>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</si>
  <si>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</si>
  <si>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</si>
  <si>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</si>
  <si>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</si>
  <si>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</si>
  <si>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</si>
  <si>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</si>
  <si>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</si>
  <si>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</si>
  <si>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</si>
  <si>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</si>
  <si>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</si>
  <si>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</si>
  <si>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</si>
  <si>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</si>
  <si>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</si>
  <si>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</si>
  <si>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</si>
  <si>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</si>
  <si>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</si>
  <si>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</si>
  <si>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</si>
  <si>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</si>
  <si>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</si>
  <si>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</si>
  <si>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</si>
  <si>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</si>
  <si>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</si>
  <si>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</si>
  <si>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</si>
  <si>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</si>
  <si>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</si>
  <si>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</si>
  <si>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</si>
  <si>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</si>
  <si>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</si>
  <si>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</si>
  <si>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</si>
  <si>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</si>
  <si>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</si>
  <si>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</si>
  <si>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</si>
  <si>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</si>
  <si>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</si>
  <si>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</si>
  <si>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</si>
  <si>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</si>
  <si>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</si>
  <si>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</si>
  <si>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</si>
  <si>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</si>
  <si>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</si>
  <si>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</si>
  <si>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</si>
  <si>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</si>
  <si>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</si>
  <si>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</si>
  <si>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</si>
  <si>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</si>
  <si>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</si>
  <si>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</si>
  <si>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</si>
  <si>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</si>
  <si>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</si>
  <si>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</si>
  <si>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</si>
  <si>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</si>
  <si>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</si>
  <si>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</si>
  <si>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</si>
  <si>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</si>
  <si>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</si>
  <si>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</si>
  <si>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</si>
  <si>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</si>
  <si>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</si>
  <si>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</si>
  <si>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</si>
  <si>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</si>
  <si>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</si>
  <si>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</si>
  <si>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</si>
  <si>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</si>
  <si>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</si>
  <si>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</si>
  <si>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</si>
  <si>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</si>
  <si>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</si>
  <si>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</si>
  <si>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</si>
  <si>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</si>
  <si>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</si>
  <si>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</si>
  <si>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</si>
  <si>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</si>
  <si>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</si>
  <si>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</si>
  <si>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</si>
  <si>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</si>
  <si>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</si>
  <si>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</si>
  <si>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</si>
  <si>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</si>
  <si>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</si>
  <si>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</si>
  <si>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</si>
  <si>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</si>
  <si>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</si>
  <si>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</si>
  <si>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</si>
  <si>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</si>
  <si>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</si>
  <si>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</si>
  <si>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</si>
  <si>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</si>
  <si>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</si>
  <si>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</si>
  <si>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</si>
  <si>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</si>
  <si>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</si>
  <si>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</si>
  <si>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</si>
  <si>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</si>
  <si>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</si>
  <si>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</si>
  <si>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</si>
  <si>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</si>
  <si>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</si>
  <si>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</si>
  <si>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</si>
  <si>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</si>
  <si>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</si>
  <si>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</si>
  <si>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</si>
  <si>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</si>
  <si>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</si>
  <si>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</si>
  <si>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</si>
  <si>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</si>
  <si>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</si>
  <si>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</si>
  <si>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</si>
  <si>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</si>
  <si>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</si>
  <si>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</si>
  <si>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</si>
  <si>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</si>
  <si>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</si>
  <si>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</si>
  <si>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</si>
  <si>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</si>
  <si>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</si>
  <si>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</si>
  <si>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</si>
  <si>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</si>
  <si>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</si>
  <si>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</si>
  <si>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</si>
  <si>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</si>
  <si>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</si>
  <si>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</si>
  <si>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</si>
  <si>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</si>
  <si>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</si>
  <si>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</si>
  <si>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</si>
  <si>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</si>
  <si>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</si>
  <si>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</si>
  <si>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</si>
  <si>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</si>
  <si>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</si>
  <si>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</si>
  <si>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</si>
  <si>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</si>
  <si>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</si>
  <si>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</si>
  <si>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</si>
  <si>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</si>
  <si>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</si>
  <si>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</si>
  <si>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</si>
  <si>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</si>
  <si>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</si>
  <si>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</si>
  <si>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</si>
  <si>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</si>
  <si>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</si>
  <si>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</si>
  <si>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</si>
  <si>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</si>
  <si>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</si>
  <si>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</si>
  <si>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</si>
  <si>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</si>
  <si>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</si>
  <si>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</si>
  <si>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</si>
  <si>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</si>
  <si>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</si>
  <si>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</si>
  <si>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</si>
  <si>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</si>
  <si>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</si>
  <si>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</si>
  <si>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</si>
  <si>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</si>
  <si>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</si>
  <si>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</si>
  <si>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</si>
  <si>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</si>
  <si>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</si>
  <si>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</si>
  <si>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</si>
  <si>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</si>
  <si>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</si>
  <si>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</si>
  <si>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</si>
  <si>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</si>
  <si>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</si>
  <si>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</si>
  <si>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</si>
  <si>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</si>
  <si>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</si>
  <si>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</si>
  <si>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</si>
  <si>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</si>
  <si>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</si>
  <si>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</si>
  <si>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</si>
  <si>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</si>
  <si>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</si>
  <si>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</si>
  <si>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</si>
  <si>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</si>
  <si>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</si>
  <si>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</si>
  <si>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</si>
  <si>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</si>
  <si>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</si>
  <si>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</si>
  <si>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</si>
  <si>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</si>
  <si>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</si>
  <si>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</si>
  <si>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</si>
  <si>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</si>
  <si>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</si>
  <si>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</si>
  <si>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</si>
  <si>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</si>
  <si>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</si>
  <si>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</si>
  <si>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</si>
  <si>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</si>
  <si>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</si>
  <si>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</si>
  <si>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</si>
  <si>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</si>
  <si>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</si>
  <si>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</si>
  <si>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</si>
  <si>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</si>
  <si>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</si>
  <si>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</si>
  <si>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</si>
  <si>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</si>
  <si>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</si>
  <si>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</si>
  <si>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</si>
  <si>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</si>
  <si>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</si>
  <si>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</si>
  <si>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</si>
  <si>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</si>
  <si>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</si>
  <si>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</si>
  <si>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</si>
  <si>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</si>
  <si>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</si>
  <si>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</si>
  <si>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</si>
  <si>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</si>
  <si>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</si>
  <si>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</si>
  <si>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</si>
  <si>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</si>
  <si>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</si>
  <si>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</si>
  <si>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</si>
  <si>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</si>
  <si>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</si>
  <si>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</si>
  <si>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</si>
  <si>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</si>
  <si>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</si>
  <si>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</si>
  <si>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</si>
  <si>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</si>
  <si>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</si>
  <si>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</si>
  <si>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</si>
  <si>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</si>
  <si>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</si>
  <si>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</si>
  <si>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</si>
  <si>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</si>
  <si>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</si>
  <si>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</si>
  <si>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</si>
  <si>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</si>
  <si>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</si>
  <si>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</si>
  <si>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</si>
  <si>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</si>
  <si>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</si>
  <si>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</si>
  <si>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</si>
  <si>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</si>
  <si>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</si>
  <si>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</si>
  <si>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</si>
  <si>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</si>
  <si>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</si>
  <si>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</si>
  <si>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</si>
  <si>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</si>
  <si>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</si>
  <si>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</si>
  <si>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</si>
  <si>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</si>
  <si>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</si>
  <si>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</si>
  <si>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</si>
  <si>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</si>
  <si>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</si>
  <si>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</si>
  <si>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</si>
  <si>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</si>
  <si>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</si>
  <si>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</si>
  <si>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</si>
  <si>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</si>
  <si>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</si>
  <si>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</si>
  <si>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</si>
  <si>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</si>
  <si>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</si>
  <si>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</si>
  <si>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</si>
  <si>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</si>
  <si>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</si>
  <si>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</si>
  <si>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</si>
  <si>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</si>
  <si>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</si>
  <si>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</si>
  <si>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</si>
  <si>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</si>
  <si>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</si>
  <si>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</si>
  <si>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</si>
  <si>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</si>
  <si>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</si>
  <si>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</si>
  <si>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</si>
  <si>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</si>
  <si>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</si>
  <si>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</si>
  <si>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</si>
  <si>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</si>
  <si>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</si>
  <si>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</si>
  <si>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</si>
  <si>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</si>
  <si>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</si>
  <si>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</si>
  <si>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</si>
  <si>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</si>
  <si>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</si>
  <si>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</si>
  <si>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</si>
  <si>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</si>
  <si>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</si>
  <si>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</si>
  <si>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</si>
  <si>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</si>
  <si>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</si>
  <si>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</si>
  <si>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</si>
  <si>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</si>
  <si>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</si>
  <si>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</si>
  <si>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</si>
  <si>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</si>
  <si>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</si>
  <si>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</si>
  <si>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</si>
  <si>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</si>
  <si>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</si>
  <si>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</si>
  <si>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</si>
  <si>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</si>
  <si>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</si>
  <si>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</si>
  <si>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</si>
  <si>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</si>
  <si>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</si>
  <si>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</si>
  <si>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</si>
  <si>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</si>
  <si>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</si>
  <si>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</si>
  <si>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</si>
  <si>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</si>
  <si>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</si>
  <si>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</si>
  <si>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</si>
  <si>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</si>
  <si>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</si>
  <si>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</si>
  <si>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</si>
  <si>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</si>
  <si>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</si>
  <si>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</si>
  <si>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</si>
  <si>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</si>
  <si>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</si>
  <si>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</si>
  <si>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</si>
  <si>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</si>
  <si>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</si>
  <si>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</si>
  <si>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</si>
  <si>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</si>
  <si>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</si>
  <si>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</si>
  <si>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</si>
  <si>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</si>
  <si>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</si>
  <si>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</si>
  <si>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</si>
  <si>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</si>
  <si>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</si>
  <si>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</si>
  <si>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</si>
  <si>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</si>
  <si>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</si>
  <si>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</si>
  <si>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</si>
  <si>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</si>
  <si>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</si>
  <si>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</si>
  <si>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</si>
  <si>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</si>
  <si>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</si>
  <si>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</si>
  <si>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</si>
  <si>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</si>
  <si>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</si>
  <si>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</si>
  <si>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</si>
  <si>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</si>
  <si>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</si>
  <si>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</si>
  <si>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</si>
  <si>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</si>
  <si>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</si>
  <si>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</si>
  <si>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</si>
  <si>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</si>
  <si>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</si>
  <si>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</si>
  <si>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</si>
  <si>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</si>
  <si>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</si>
  <si>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</si>
  <si>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</si>
  <si>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</si>
  <si>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</si>
  <si>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</si>
  <si>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</si>
  <si>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</si>
  <si>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</si>
  <si>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</si>
  <si>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</si>
  <si>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</si>
  <si>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</si>
  <si>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</si>
  <si>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</si>
  <si>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</si>
  <si>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</si>
  <si>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</si>
  <si>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</si>
  <si>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</si>
  <si>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</si>
  <si>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</si>
  <si>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</si>
  <si>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</si>
  <si>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</si>
  <si>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</si>
  <si>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</si>
  <si>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</si>
  <si>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</si>
  <si>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</si>
  <si>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</si>
  <si>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</si>
  <si>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</si>
  <si>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</si>
  <si>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</si>
  <si>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</si>
  <si>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</si>
  <si>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</si>
  <si>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</si>
  <si>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</si>
  <si>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</si>
  <si>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</si>
  <si>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</si>
  <si>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</si>
  <si>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</si>
  <si>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</si>
  <si>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</si>
  <si>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</si>
  <si>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</si>
  <si>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</si>
  <si>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</si>
  <si>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</si>
  <si>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</si>
  <si>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</si>
  <si>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</si>
  <si>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</si>
  <si>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</si>
  <si>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</si>
  <si>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</si>
  <si>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</si>
  <si>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</si>
  <si>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</si>
  <si>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</si>
  <si>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</si>
  <si>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</si>
  <si>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</si>
  <si>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</si>
  <si>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</si>
  <si>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</si>
  <si>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</si>
  <si>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</si>
  <si>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</si>
  <si>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</si>
  <si>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</si>
  <si>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</si>
  <si>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</si>
  <si>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</si>
  <si>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</si>
  <si>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</si>
  <si>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</si>
  <si>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</si>
  <si>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</si>
  <si>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</si>
  <si>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</si>
  <si>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</si>
  <si>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</si>
  <si>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</si>
  <si>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</si>
  <si>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</si>
  <si>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</si>
  <si>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</si>
  <si>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</si>
  <si>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</si>
  <si>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</si>
  <si>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</si>
  <si>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</si>
  <si>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</si>
  <si>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</si>
  <si>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</si>
  <si>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</si>
  <si>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</si>
  <si>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</si>
  <si>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</si>
  <si>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</si>
  <si>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</si>
  <si>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</si>
  <si>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</si>
  <si>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</si>
  <si>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</si>
  <si>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</si>
  <si>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</si>
  <si>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</si>
  <si>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</si>
  <si>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</si>
  <si>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</si>
  <si>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</si>
  <si>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</si>
  <si>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</si>
  <si>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</si>
  <si>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</si>
  <si>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</si>
  <si>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</si>
  <si>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</si>
  <si>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</si>
  <si>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</si>
  <si>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</si>
  <si>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</si>
  <si>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</si>
  <si>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</si>
  <si>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</si>
  <si>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</si>
  <si>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</si>
  <si>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</si>
  <si>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</si>
  <si>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</si>
  <si>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</si>
  <si>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</si>
  <si>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</si>
  <si>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</si>
  <si>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</si>
  <si>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</si>
  <si>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</si>
  <si>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</si>
  <si>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</si>
  <si>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</si>
  <si>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</si>
  <si>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</si>
  <si>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</si>
  <si>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</si>
  <si>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</si>
  <si>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</si>
  <si>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</si>
  <si>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</si>
  <si>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</si>
  <si>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</si>
  <si>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</si>
  <si>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</si>
  <si>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</si>
  <si>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</si>
  <si>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</si>
  <si>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</si>
  <si>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</si>
  <si>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</si>
  <si>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</si>
  <si>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</si>
  <si>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</si>
  <si>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</si>
  <si>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</si>
  <si>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</si>
  <si>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</si>
  <si>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</si>
  <si>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</si>
  <si>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</si>
  <si>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</si>
  <si>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</si>
  <si>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</si>
  <si>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</si>
  <si>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</si>
  <si>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</si>
  <si>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</si>
  <si>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</si>
  <si>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</si>
  <si>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</si>
  <si>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</si>
  <si>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</si>
  <si>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</si>
  <si>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</si>
  <si>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</si>
  <si>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</si>
  <si>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</si>
  <si>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</si>
  <si>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</si>
  <si>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</si>
  <si>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</si>
  <si>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</si>
  <si>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</si>
  <si>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</si>
  <si>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</si>
  <si>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</si>
  <si>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</si>
  <si>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</si>
  <si>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</si>
  <si>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</si>
  <si>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</si>
  <si>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</si>
  <si>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</si>
  <si>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</si>
  <si>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</si>
  <si>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</si>
  <si>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</si>
  <si>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</si>
  <si>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</si>
  <si>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</si>
  <si>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</si>
  <si>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</si>
  <si>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</si>
  <si>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</si>
  <si>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</si>
  <si>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</si>
  <si>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</si>
  <si>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</si>
  <si>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</si>
  <si>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</si>
  <si>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</si>
  <si>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</si>
  <si>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</si>
  <si>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</si>
  <si>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</si>
  <si>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</si>
  <si>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</si>
  <si>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</si>
  <si>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</si>
  <si>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</si>
  <si>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</si>
  <si>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</si>
  <si>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</si>
  <si>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</si>
  <si>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</si>
  <si>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</si>
  <si>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</si>
  <si>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</si>
  <si>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</si>
  <si>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</si>
  <si>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</si>
  <si>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</si>
  <si>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</si>
  <si>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</si>
  <si>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</si>
  <si>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</si>
  <si>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</si>
  <si>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</si>
  <si>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</si>
  <si>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</si>
  <si>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</si>
  <si>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</si>
  <si>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</si>
  <si>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</si>
  <si>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</si>
  <si>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</si>
  <si>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</si>
  <si>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</si>
  <si>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</si>
  <si>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</si>
  <si>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</si>
  <si>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</si>
  <si>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</si>
  <si>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</si>
  <si>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</si>
  <si>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</si>
  <si>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</si>
  <si>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</si>
  <si>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</si>
  <si>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</si>
  <si>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</si>
  <si>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</si>
  <si>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</si>
  <si>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</si>
  <si>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</si>
  <si>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</si>
  <si>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</si>
  <si>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</si>
  <si>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</si>
  <si>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</si>
  <si>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</si>
  <si>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</si>
  <si>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</si>
  <si>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</si>
  <si>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</si>
  <si>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</si>
  <si>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</si>
  <si>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</si>
  <si>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</si>
  <si>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</si>
  <si>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</si>
  <si>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</si>
  <si>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</si>
  <si>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</si>
  <si>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</si>
  <si>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</si>
  <si>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</si>
  <si>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</si>
  <si>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</si>
  <si>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</si>
  <si>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</si>
  <si>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</si>
  <si>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</si>
  <si>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</si>
  <si>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</si>
  <si>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</si>
  <si>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</si>
  <si>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</si>
  <si>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</si>
  <si>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</si>
  <si>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</si>
  <si>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</si>
  <si>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</si>
  <si>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</si>
  <si>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</si>
  <si>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</si>
  <si>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</si>
  <si>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</si>
  <si>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</si>
  <si>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</si>
  <si>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</si>
  <si>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</si>
  <si>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</si>
  <si>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</si>
  <si>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</si>
  <si>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</si>
  <si>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</si>
  <si>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</si>
  <si>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</si>
  <si>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</si>
  <si>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</si>
  <si>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</si>
  <si>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</si>
  <si>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</si>
  <si>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</si>
  <si>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</si>
  <si>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</si>
  <si>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</si>
  <si>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</si>
  <si>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</si>
  <si>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</si>
  <si>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</si>
  <si>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</si>
  <si>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</si>
  <si>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</si>
  <si>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</si>
  <si>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</si>
  <si>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</si>
  <si>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</si>
  <si>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</si>
  <si>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</si>
  <si>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</si>
  <si>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</si>
  <si>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</si>
  <si>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</si>
  <si>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</si>
  <si>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</si>
  <si>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</si>
  <si>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</si>
  <si>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</si>
  <si>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</si>
  <si>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</si>
  <si>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</si>
  <si>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</si>
  <si>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</si>
  <si>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</si>
  <si>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</si>
  <si>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</si>
  <si>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</si>
  <si>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</si>
  <si>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</si>
  <si>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</si>
  <si>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</si>
  <si>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</si>
  <si>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</si>
  <si>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</si>
  <si>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</si>
  <si>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</si>
  <si>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</si>
  <si>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</si>
  <si>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</si>
  <si>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</si>
  <si>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</si>
  <si>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</si>
  <si>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</si>
  <si>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</si>
  <si>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</si>
  <si>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</si>
  <si>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</si>
  <si>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</si>
  <si>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</si>
  <si>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</si>
  <si>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</si>
  <si>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</si>
  <si>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</si>
  <si>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</si>
  <si>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</si>
  <si>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</si>
  <si>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</si>
  <si>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</si>
  <si>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</si>
  <si>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</si>
  <si>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</si>
  <si>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</si>
  <si>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</si>
  <si>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</si>
  <si>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</si>
  <si>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</si>
  <si>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</si>
  <si>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</si>
  <si>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</si>
  <si>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</si>
  <si>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</si>
  <si>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</si>
  <si>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</si>
  <si>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</si>
  <si>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</si>
  <si>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</si>
  <si>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</si>
  <si>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</si>
  <si>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</si>
  <si>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</si>
  <si>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</si>
  <si>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</si>
  <si>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</si>
  <si>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</si>
  <si>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</si>
  <si>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</si>
  <si>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</si>
  <si>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</si>
  <si>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</si>
  <si>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</si>
  <si>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</si>
  <si>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</si>
  <si>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</si>
  <si>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</si>
  <si>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</si>
  <si>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</si>
  <si>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</si>
  <si>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</si>
  <si>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</si>
  <si>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</si>
  <si>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</si>
  <si>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</si>
  <si>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</si>
  <si>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</si>
  <si>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</si>
  <si>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</si>
  <si>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</si>
  <si>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</si>
  <si>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</si>
  <si>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</si>
  <si>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</si>
  <si>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</si>
  <si>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</si>
  <si>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</si>
  <si>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</si>
  <si>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</si>
  <si>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</si>
  <si>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</si>
  <si>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</si>
  <si>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</si>
  <si>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</si>
  <si>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</si>
  <si>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</si>
  <si>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</si>
  <si>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</si>
  <si>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</si>
  <si>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</si>
  <si>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</si>
  <si>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</si>
  <si>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</si>
  <si>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</si>
  <si>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</si>
  <si>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</si>
  <si>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</si>
  <si>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</si>
  <si>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</si>
  <si>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</si>
  <si>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</si>
  <si>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</si>
  <si>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</si>
  <si>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</si>
  <si>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</si>
  <si>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</si>
  <si>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</si>
  <si>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</si>
  <si>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</si>
  <si>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</si>
  <si>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</si>
  <si>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</si>
  <si>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</si>
  <si>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</si>
  <si>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</si>
  <si>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</si>
  <si>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</si>
  <si>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</si>
  <si>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</si>
  <si>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</si>
  <si>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</si>
  <si>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</si>
  <si>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</si>
  <si>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</si>
  <si>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</si>
  <si>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</si>
  <si>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</si>
  <si>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</si>
  <si>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</si>
  <si>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</si>
  <si>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</si>
  <si>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</si>
  <si>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</si>
  <si>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</si>
  <si>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</si>
  <si>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</si>
  <si>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</si>
  <si>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</si>
  <si>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</si>
  <si>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</si>
  <si>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</si>
  <si>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</si>
  <si>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</si>
  <si>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</si>
  <si>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</si>
  <si>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</si>
  <si>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</si>
  <si>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</si>
  <si>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</si>
  <si>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</si>
  <si>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</si>
  <si>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</si>
  <si>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</si>
  <si>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</si>
  <si>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</si>
  <si>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</si>
  <si>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</si>
  <si>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</si>
  <si>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</si>
  <si>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</si>
  <si>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</si>
  <si>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</si>
  <si>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</si>
  <si>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</si>
  <si>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</si>
  <si>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</si>
  <si>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</si>
  <si>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</si>
  <si>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</si>
  <si>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</si>
  <si>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</si>
  <si>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</si>
  <si>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</si>
  <si>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</si>
  <si>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</si>
  <si>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</si>
  <si>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</si>
  <si>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</si>
  <si>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</si>
  <si>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</si>
  <si>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</si>
  <si>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</si>
  <si>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</si>
  <si>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</si>
  <si>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</si>
  <si>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</si>
  <si>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</si>
  <si>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</si>
  <si>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</si>
  <si>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</si>
  <si>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</si>
  <si>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</si>
  <si>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</si>
  <si>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</si>
  <si>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</si>
  <si>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</si>
  <si>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</si>
  <si>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</si>
  <si>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</si>
  <si>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</si>
  <si>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</si>
  <si>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</si>
  <si>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</si>
  <si>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</si>
  <si>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</si>
  <si>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</si>
  <si>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</si>
  <si>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</si>
  <si>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</si>
  <si>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</si>
  <si>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</si>
  <si>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</si>
  <si>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</si>
  <si>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</si>
  <si>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</si>
  <si>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</si>
  <si>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</si>
  <si>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</si>
  <si>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</si>
  <si>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</si>
  <si>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</si>
  <si>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</si>
  <si>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</si>
  <si>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</si>
  <si>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</si>
  <si>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</si>
  <si>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</si>
  <si>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</si>
  <si>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</si>
  <si>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</si>
  <si>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</si>
  <si>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</si>
  <si>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</si>
  <si>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</si>
  <si>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</si>
  <si>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</si>
  <si>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</si>
  <si>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</si>
  <si>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</si>
  <si>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</si>
  <si>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</si>
  <si>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</si>
  <si>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</si>
  <si>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</si>
  <si>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</si>
  <si>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</si>
  <si>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</si>
  <si>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</si>
  <si>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</si>
  <si>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</si>
  <si>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</si>
  <si>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</si>
  <si>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</si>
  <si>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</si>
  <si>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</si>
  <si>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</si>
  <si>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</si>
  <si>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</si>
  <si>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</si>
  <si>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</si>
  <si>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</si>
  <si>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</si>
  <si>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</si>
  <si>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</si>
  <si>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</si>
  <si>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</si>
  <si>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</si>
  <si>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</si>
  <si>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</si>
  <si>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</si>
  <si>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</si>
  <si>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</si>
  <si>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</si>
  <si>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</si>
  <si>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</si>
  <si>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</si>
  <si>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</si>
  <si>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</si>
  <si>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</si>
  <si>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</si>
  <si>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</si>
  <si>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</si>
  <si>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</si>
  <si>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</si>
  <si>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</si>
  <si>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</si>
  <si>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</si>
  <si>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</si>
  <si>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</si>
  <si>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</si>
  <si>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</si>
  <si>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</si>
  <si>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</si>
  <si>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</si>
  <si>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</si>
  <si>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</si>
  <si>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</si>
  <si>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</si>
  <si>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</si>
  <si>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</si>
  <si>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</si>
  <si>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</si>
  <si>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</si>
  <si>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</si>
  <si>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</si>
  <si>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</si>
  <si>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</si>
  <si>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</si>
  <si>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</si>
  <si>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</si>
  <si>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</si>
  <si>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</si>
  <si>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</si>
  <si>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</si>
  <si>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</si>
  <si>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</si>
  <si>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</si>
  <si>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</si>
  <si>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</si>
  <si>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</si>
  <si>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</si>
  <si>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</si>
  <si>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</si>
  <si>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</si>
  <si>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</si>
  <si>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</si>
  <si>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</si>
  <si>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</si>
  <si>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</si>
  <si>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</si>
  <si>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</si>
  <si>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</si>
  <si>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</si>
  <si>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</si>
  <si>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</si>
  <si>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</si>
  <si>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</si>
  <si>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</si>
  <si>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</si>
  <si>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</si>
  <si>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</si>
  <si>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</si>
  <si>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</si>
  <si>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</si>
  <si>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</si>
  <si>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</si>
  <si>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</si>
  <si>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</si>
  <si>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26322222</t>
  </si>
  <si>
    <t>ГКП "Волжские межрайонные электросети"</t>
  </si>
  <si>
    <t>3435901574</t>
  </si>
  <si>
    <t>09-07-2001 00:00:00</t>
  </si>
  <si>
    <t>23-08-2024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</si>
  <si>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</si>
  <si>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</si>
  <si>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</si>
  <si>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</si>
  <si>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</si>
  <si>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</si>
  <si>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</si>
  <si>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</si>
  <si>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</si>
  <si>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</si>
  <si>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</si>
  <si>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</si>
  <si>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</si>
  <si>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</si>
  <si>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</si>
  <si>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</si>
  <si>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</si>
  <si>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</si>
  <si>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</si>
  <si>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</si>
  <si>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</si>
  <si>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</si>
  <si>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</si>
  <si>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</si>
  <si>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</si>
  <si>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</si>
  <si>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</si>
  <si>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</si>
  <si>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</si>
  <si>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</si>
  <si>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</si>
  <si>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</si>
  <si>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</si>
  <si>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</si>
  <si>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</si>
  <si>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</si>
  <si>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</si>
  <si>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</si>
  <si>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</si>
  <si>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</si>
  <si>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</si>
  <si>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</si>
  <si>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</si>
  <si>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</si>
  <si>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</si>
  <si>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</si>
  <si>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</si>
  <si>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</si>
  <si>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</si>
  <si>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</si>
  <si>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</si>
  <si>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</si>
  <si>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</si>
  <si>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</si>
  <si>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</si>
  <si>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</si>
  <si>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345701001</t>
  </si>
  <si>
    <t>11-06-2024 00:00:00</t>
  </si>
  <si>
    <t>30801365</t>
  </si>
  <si>
    <t>МКУ "Хозяйственное управление Администрации Ольшанского сельского поселения Урюпинского муниципального района"</t>
  </si>
  <si>
    <t>3457003091</t>
  </si>
  <si>
    <t>09-12-2015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</si>
  <si>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</si>
  <si>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</si>
  <si>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</si>
  <si>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</si>
  <si>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</si>
  <si>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</si>
  <si>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</si>
  <si>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</si>
  <si>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</si>
  <si>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</si>
  <si>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</si>
  <si>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</si>
  <si>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</si>
  <si>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</si>
  <si>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</si>
  <si>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</si>
  <si>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</si>
  <si>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</si>
  <si>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</si>
  <si>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</si>
  <si>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</si>
  <si>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</si>
  <si>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</si>
  <si>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</si>
  <si>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</si>
  <si>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</si>
  <si>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</si>
  <si>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</si>
  <si>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</si>
  <si>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</si>
  <si>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</si>
  <si>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</si>
  <si>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</si>
  <si>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</si>
  <si>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</si>
  <si>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</si>
  <si>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</si>
  <si>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26856820</t>
  </si>
  <si>
    <t>МУП " Газстройсервис" Урюпинского муниципального района Волгоградской области</t>
  </si>
  <si>
    <t>3431008137</t>
  </si>
  <si>
    <t>343101001</t>
  </si>
  <si>
    <t>01-07-2010 00:00:00</t>
  </si>
  <si>
    <t>26-09-2024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</si>
  <si>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</si>
  <si>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</si>
  <si>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</si>
  <si>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</si>
  <si>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</si>
  <si>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</si>
  <si>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</si>
  <si>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</si>
  <si>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</si>
  <si>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</si>
  <si>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</si>
  <si>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</si>
  <si>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26371901</t>
  </si>
  <si>
    <t>МУП "Благоустройство"</t>
  </si>
  <si>
    <t>3404004920</t>
  </si>
  <si>
    <t>06-04-2006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</si>
  <si>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</si>
  <si>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</si>
  <si>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</si>
  <si>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</si>
  <si>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</si>
  <si>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</si>
  <si>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</si>
  <si>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</si>
  <si>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</si>
  <si>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</si>
  <si>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</si>
  <si>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</si>
  <si>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</si>
  <si>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</si>
  <si>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</si>
  <si>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</si>
  <si>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</si>
  <si>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</si>
  <si>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</si>
  <si>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</si>
  <si>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</si>
  <si>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</si>
  <si>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</si>
  <si>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</si>
  <si>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</si>
  <si>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</si>
  <si>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</si>
  <si>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</si>
  <si>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</si>
  <si>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</si>
  <si>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</si>
  <si>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</si>
  <si>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</si>
  <si>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</si>
  <si>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</si>
  <si>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</si>
  <si>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</si>
  <si>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</si>
  <si>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</si>
  <si>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</si>
  <si>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</si>
  <si>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</si>
  <si>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</si>
  <si>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</si>
  <si>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</si>
  <si>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</si>
  <si>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</si>
  <si>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</si>
  <si>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</si>
  <si>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</si>
  <si>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</si>
  <si>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</si>
  <si>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</si>
  <si>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</si>
  <si>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</si>
  <si>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</si>
  <si>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</si>
  <si>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</si>
  <si>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</si>
  <si>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</si>
  <si>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</si>
  <si>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</si>
  <si>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</si>
  <si>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</si>
  <si>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</si>
  <si>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</si>
  <si>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</si>
  <si>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</si>
  <si>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</si>
  <si>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</si>
  <si>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</si>
  <si>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</si>
  <si>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</si>
  <si>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</si>
  <si>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</si>
  <si>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</si>
  <si>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</si>
  <si>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</si>
  <si>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</si>
  <si>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</si>
  <si>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</si>
  <si>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26371933</t>
  </si>
  <si>
    <t>МУП "Нехаевское МПОКХ"</t>
  </si>
  <si>
    <t>3417004469</t>
  </si>
  <si>
    <t>341701001</t>
  </si>
  <si>
    <t>13-12-2001 00:00:00</t>
  </si>
  <si>
    <t>11-09-2024 00:00:00</t>
  </si>
  <si>
    <t>30947553</t>
  </si>
  <si>
    <t>МУП "Николаевское городское коммунальное хозяйство"</t>
  </si>
  <si>
    <t>3454004308</t>
  </si>
  <si>
    <t>345401001</t>
  </si>
  <si>
    <t>30-08-2017 00:00:00</t>
  </si>
  <si>
    <t>26371961</t>
  </si>
  <si>
    <t>МУП "Октябрьское КХ"</t>
  </si>
  <si>
    <t>3421003316</t>
  </si>
  <si>
    <t>342101001</t>
  </si>
  <si>
    <t>06-07-2007 00:00:00</t>
  </si>
  <si>
    <t>13-09-2024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</si>
  <si>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</si>
  <si>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</si>
  <si>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</si>
  <si>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</si>
  <si>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</si>
  <si>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</si>
  <si>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</si>
  <si>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</si>
  <si>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</si>
  <si>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</si>
  <si>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</si>
  <si>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</si>
  <si>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</si>
  <si>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</si>
  <si>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</si>
  <si>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</si>
  <si>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</si>
  <si>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</si>
  <si>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</si>
  <si>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</si>
  <si>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</si>
  <si>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</si>
  <si>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</si>
  <si>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</si>
  <si>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</si>
  <si>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</si>
  <si>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</si>
  <si>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</si>
  <si>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</si>
  <si>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</si>
  <si>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</si>
  <si>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</si>
  <si>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</si>
  <si>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</si>
  <si>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</si>
  <si>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</si>
  <si>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</si>
  <si>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</si>
  <si>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</si>
  <si>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</si>
  <si>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</si>
  <si>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</si>
  <si>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</si>
  <si>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</si>
  <si>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</si>
  <si>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</si>
  <si>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</si>
  <si>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</si>
  <si>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</si>
  <si>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</si>
  <si>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26382266</t>
  </si>
  <si>
    <t>МУП коммунального обслуживания</t>
  </si>
  <si>
    <t>3424008030</t>
  </si>
  <si>
    <t>342401001</t>
  </si>
  <si>
    <t>06-12-1999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</si>
  <si>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</si>
  <si>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</si>
  <si>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</si>
  <si>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</si>
  <si>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</si>
  <si>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</si>
  <si>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</si>
  <si>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</si>
  <si>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</si>
  <si>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</si>
  <si>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</si>
  <si>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</si>
  <si>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</si>
  <si>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</si>
  <si>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</si>
  <si>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</si>
  <si>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</si>
  <si>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</si>
  <si>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</si>
  <si>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</si>
  <si>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</si>
  <si>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</si>
  <si>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</si>
  <si>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</si>
  <si>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</si>
  <si>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</si>
  <si>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</si>
  <si>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</si>
  <si>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</si>
  <si>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</si>
  <si>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</si>
  <si>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</si>
  <si>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</si>
  <si>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</si>
  <si>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31449180</t>
  </si>
  <si>
    <t>ООО "Водоканал" г. Котово</t>
  </si>
  <si>
    <t>3453003781</t>
  </si>
  <si>
    <t>345301001</t>
  </si>
  <si>
    <t>26634967</t>
  </si>
  <si>
    <t>ООО "Водстройсервис"</t>
  </si>
  <si>
    <t>3444181241</t>
  </si>
  <si>
    <t>341901001</t>
  </si>
  <si>
    <t>21-10-2010 00:00:00</t>
  </si>
  <si>
    <t>28465934</t>
  </si>
  <si>
    <t>ООО "Волганефтемаш - Котельная"</t>
  </si>
  <si>
    <t>3459004929</t>
  </si>
  <si>
    <t>345901001</t>
  </si>
  <si>
    <t>05-06-2024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</si>
  <si>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</si>
  <si>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</si>
  <si>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</si>
  <si>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</si>
  <si>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</si>
  <si>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</si>
  <si>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</si>
  <si>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</si>
  <si>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</si>
  <si>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</si>
  <si>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</si>
  <si>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</si>
  <si>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31509049</t>
  </si>
  <si>
    <t>ООО "Волжский стандарт"</t>
  </si>
  <si>
    <t>3446048559</t>
  </si>
  <si>
    <t>24-07-2020 00:00:00</t>
  </si>
  <si>
    <t>27-09-2024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</si>
  <si>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</si>
  <si>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</si>
  <si>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</si>
  <si>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</si>
  <si>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</si>
  <si>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</si>
  <si>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</si>
  <si>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</si>
  <si>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</si>
  <si>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</si>
  <si>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</si>
  <si>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</si>
  <si>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</si>
  <si>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</si>
  <si>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</si>
  <si>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</si>
  <si>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</si>
  <si>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</si>
  <si>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</si>
  <si>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</si>
  <si>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</si>
  <si>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</si>
  <si>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</si>
  <si>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</si>
  <si>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</si>
  <si>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</si>
  <si>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</si>
  <si>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</si>
  <si>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</si>
  <si>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</si>
  <si>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</si>
  <si>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</si>
  <si>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</si>
  <si>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</si>
  <si>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</si>
  <si>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</si>
  <si>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</si>
  <si>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</si>
  <si>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</si>
  <si>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</si>
  <si>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</si>
  <si>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</si>
  <si>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</si>
  <si>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</si>
  <si>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</si>
  <si>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</si>
  <si>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</si>
  <si>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</si>
  <si>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</si>
  <si>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</si>
  <si>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</si>
  <si>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</si>
  <si>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</si>
  <si>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</si>
  <si>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</si>
  <si>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</si>
  <si>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</si>
  <si>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</si>
  <si>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</si>
  <si>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</si>
  <si>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</si>
  <si>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</si>
  <si>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</si>
  <si>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</si>
  <si>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</si>
  <si>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</si>
  <si>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</si>
  <si>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</si>
  <si>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</si>
  <si>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</si>
  <si>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</si>
  <si>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</si>
  <si>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</si>
  <si>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</si>
  <si>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</si>
  <si>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26409449</t>
  </si>
  <si>
    <t>ООО "ПСВС-Сервис"</t>
  </si>
  <si>
    <t>3423018974</t>
  </si>
  <si>
    <t>08-01-2004 00:00:00</t>
  </si>
  <si>
    <t>30347420</t>
  </si>
  <si>
    <t>ООО "Паритет"</t>
  </si>
  <si>
    <t>6164240637</t>
  </si>
  <si>
    <t>10-10-2005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</si>
  <si>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</si>
  <si>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</si>
  <si>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</si>
  <si>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</si>
  <si>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</si>
  <si>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</si>
  <si>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</si>
  <si>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</si>
  <si>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</si>
  <si>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</si>
  <si>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</si>
  <si>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</si>
  <si>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</si>
  <si>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</si>
  <si>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</si>
  <si>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</si>
  <si>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</si>
  <si>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</si>
  <si>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</si>
  <si>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</si>
  <si>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</si>
  <si>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</si>
  <si>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</si>
  <si>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</si>
  <si>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</si>
  <si>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</si>
  <si>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</si>
  <si>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</si>
  <si>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</si>
  <si>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</si>
  <si>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</si>
  <si>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</si>
  <si>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</si>
  <si>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</si>
  <si>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31650914</t>
  </si>
  <si>
    <t>ООО "Тепловая компания Котово"</t>
  </si>
  <si>
    <t>3453007401</t>
  </si>
  <si>
    <t>29-09-2022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</si>
  <si>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</si>
  <si>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</si>
  <si>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</si>
  <si>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</si>
  <si>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</si>
  <si>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</si>
  <si>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</si>
  <si>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</si>
  <si>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</si>
  <si>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</si>
  <si>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</si>
  <si>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</si>
  <si>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</si>
  <si>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</si>
  <si>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</si>
  <si>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</si>
  <si>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</si>
  <si>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</si>
  <si>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</si>
  <si>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</si>
  <si>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</si>
  <si>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</si>
  <si>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</si>
  <si>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</si>
  <si>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</si>
  <si>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</si>
  <si>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</si>
  <si>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</si>
  <si>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</si>
  <si>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</si>
  <si>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</si>
  <si>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</si>
  <si>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</si>
  <si>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</si>
  <si>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</si>
  <si>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</si>
  <si>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</si>
  <si>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</si>
  <si>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</si>
  <si>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</si>
  <si>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</si>
  <si>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</si>
  <si>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</si>
  <si>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</si>
  <si>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</si>
  <si>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</si>
  <si>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</si>
  <si>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</si>
  <si>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</si>
  <si>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</si>
  <si>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</si>
  <si>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</si>
  <si>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</si>
  <si>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</si>
  <si>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</si>
  <si>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</si>
  <si>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</si>
  <si>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</si>
  <si>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</si>
  <si>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</si>
  <si>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</si>
  <si>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</si>
  <si>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</si>
  <si>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</si>
  <si>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</si>
  <si>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</si>
  <si>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</si>
  <si>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</si>
  <si>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</si>
  <si>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</si>
  <si>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</si>
  <si>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</si>
  <si>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</si>
  <si>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</si>
  <si>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</si>
  <si>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</si>
  <si>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</si>
  <si>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</si>
  <si>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</si>
  <si>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</si>
  <si>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</si>
  <si>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</si>
  <si>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</si>
  <si>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</si>
  <si>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</si>
  <si>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</si>
  <si>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</si>
  <si>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</si>
  <si>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</si>
  <si>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</si>
  <si>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</si>
  <si>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</si>
  <si>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</si>
  <si>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</si>
  <si>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</si>
  <si>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</si>
  <si>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</si>
  <si>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</si>
  <si>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</si>
  <si>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</si>
  <si>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</si>
  <si>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</si>
  <si>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</si>
  <si>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</si>
  <si>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</si>
  <si>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</si>
  <si>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</si>
  <si>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</si>
  <si>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</si>
  <si>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</si>
  <si>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</si>
  <si>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</si>
  <si>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</si>
  <si>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</si>
  <si>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</si>
  <si>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</si>
  <si>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</si>
  <si>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</si>
  <si>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</si>
  <si>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</si>
  <si>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</si>
  <si>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</si>
  <si>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</si>
  <si>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</si>
  <si>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</si>
  <si>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</si>
  <si>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</si>
  <si>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</si>
  <si>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</si>
  <si>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</si>
  <si>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</si>
  <si>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</si>
  <si>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</si>
  <si>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</si>
  <si>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</si>
  <si>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</si>
  <si>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</si>
  <si>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</si>
  <si>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</si>
  <si>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</si>
  <si>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</si>
  <si>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</si>
  <si>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</si>
  <si>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</si>
  <si>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</si>
  <si>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</si>
  <si>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</si>
  <si>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</si>
  <si>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</si>
  <si>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</si>
  <si>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</si>
  <si>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</si>
  <si>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</si>
  <si>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</si>
  <si>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</si>
  <si>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</si>
  <si>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</si>
  <si>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</si>
  <si>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</si>
  <si>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</si>
  <si>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</si>
  <si>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</si>
  <si>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</si>
  <si>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</si>
  <si>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</si>
  <si>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</si>
  <si>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</si>
  <si>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</si>
  <si>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</si>
  <si>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</si>
  <si>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</si>
  <si>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</si>
  <si>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</si>
  <si>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</si>
  <si>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</si>
  <si>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</si>
  <si>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</si>
  <si>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</si>
  <si>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</si>
  <si>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</si>
  <si>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</si>
  <si>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</si>
  <si>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</si>
  <si>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</si>
  <si>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</si>
  <si>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</si>
  <si>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</si>
  <si>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</si>
  <si>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</si>
  <si>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</si>
  <si>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</si>
  <si>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</si>
  <si>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</si>
  <si>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</si>
  <si>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</si>
  <si>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</si>
  <si>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</si>
  <si>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</si>
  <si>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</si>
  <si>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</si>
  <si>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</si>
  <si>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</si>
  <si>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</si>
  <si>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</si>
  <si>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</si>
  <si>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</si>
  <si>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</si>
  <si>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</si>
  <si>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</si>
  <si>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</si>
  <si>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</si>
  <si>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</si>
  <si>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</si>
  <si>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28257708</t>
  </si>
  <si>
    <t>МБУ "ЖКХБ Лапшинского сельского поселения"</t>
  </si>
  <si>
    <t>3453000290</t>
  </si>
  <si>
    <t>22-05-2013 00:00:00</t>
  </si>
  <si>
    <t>13-08-2024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</si>
  <si>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</si>
  <si>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</si>
  <si>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</si>
  <si>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</si>
  <si>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</si>
  <si>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</si>
  <si>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</si>
  <si>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</si>
  <si>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</si>
  <si>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</si>
  <si>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</si>
  <si>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</si>
  <si>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</si>
  <si>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</si>
  <si>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</si>
  <si>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</si>
  <si>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</si>
  <si>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</si>
  <si>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</si>
  <si>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</si>
  <si>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</si>
  <si>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</si>
  <si>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</si>
  <si>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</si>
  <si>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</si>
  <si>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</si>
  <si>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</si>
  <si>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</si>
  <si>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</si>
  <si>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</si>
  <si>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</si>
  <si>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</si>
  <si>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</si>
  <si>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</si>
  <si>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</si>
  <si>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</si>
  <si>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</si>
  <si>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</si>
  <si>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</si>
  <si>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</si>
  <si>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</si>
  <si>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</si>
  <si>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</si>
  <si>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</si>
  <si>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</si>
  <si>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</si>
  <si>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</si>
  <si>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</si>
  <si>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</si>
  <si>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</si>
  <si>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</si>
  <si>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</si>
  <si>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</si>
  <si>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</si>
  <si>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</si>
  <si>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</si>
  <si>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</si>
  <si>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</si>
  <si>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31478352</t>
  </si>
  <si>
    <t>МКП "Котовский" Урюпинского муниципального района</t>
  </si>
  <si>
    <t>3457003341</t>
  </si>
  <si>
    <t>01-10-2024 00:00:00</t>
  </si>
  <si>
    <t>28459471</t>
  </si>
  <si>
    <t>МКП "Петровский"</t>
  </si>
  <si>
    <t>3431008338</t>
  </si>
  <si>
    <t>26-08-2024 00:00:00</t>
  </si>
  <si>
    <t>30869211</t>
  </si>
  <si>
    <t>МКП "Родник"</t>
  </si>
  <si>
    <t>3457003359</t>
  </si>
  <si>
    <t>28-04-2016 00:00:00</t>
  </si>
  <si>
    <t>21-08-2024 00:00:00</t>
  </si>
  <si>
    <t>30897998</t>
  </si>
  <si>
    <t>МКП "Селянин"</t>
  </si>
  <si>
    <t>3457003422</t>
  </si>
  <si>
    <t>06-06-2016 00:00:00</t>
  </si>
  <si>
    <t>31541089</t>
  </si>
  <si>
    <t>МКП "Хозуправление"</t>
  </si>
  <si>
    <t>3457010229</t>
  </si>
  <si>
    <t>30-09-2024 00:00:00</t>
  </si>
  <si>
    <t>30883648</t>
  </si>
  <si>
    <t>МКП"Благо"</t>
  </si>
  <si>
    <t>3457003133</t>
  </si>
  <si>
    <t>03-10-2024 00:00:00</t>
  </si>
  <si>
    <t>30898004</t>
  </si>
  <si>
    <t>МКП"Казачка"</t>
  </si>
  <si>
    <t>3457003648</t>
  </si>
  <si>
    <t>06-10-2016 00:00:00</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</si>
  <si>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</si>
  <si>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</si>
  <si>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</si>
  <si>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</si>
  <si>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</si>
  <si>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</si>
  <si>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</si>
  <si>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</si>
  <si>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</si>
  <si>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</si>
  <si>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</si>
  <si>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</si>
  <si>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</si>
  <si>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</si>
  <si>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</si>
  <si>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</si>
  <si>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</si>
  <si>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</si>
  <si>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</si>
  <si>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</si>
  <si>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</si>
  <si>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</si>
  <si>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</si>
  <si>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</si>
  <si>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</si>
  <si>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</si>
  <si>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</si>
  <si>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</si>
  <si>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</si>
  <si>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</si>
  <si>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</si>
  <si>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</si>
  <si>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</si>
  <si>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</si>
  <si>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</si>
  <si>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</si>
  <si>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</si>
  <si>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</si>
  <si>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</si>
  <si>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</si>
  <si>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</si>
  <si>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</si>
  <si>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</si>
  <si>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</si>
  <si>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</si>
  <si>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</si>
  <si>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</si>
  <si>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</si>
  <si>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</si>
  <si>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</si>
  <si>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</si>
  <si>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</si>
  <si>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</si>
  <si>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</si>
  <si>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</si>
  <si>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</si>
  <si>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</si>
  <si>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</si>
  <si>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</si>
  <si>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</si>
  <si>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</si>
  <si>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</si>
  <si>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</si>
  <si>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</si>
  <si>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</si>
  <si>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</si>
  <si>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</si>
  <si>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</si>
  <si>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</si>
  <si>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</si>
  <si>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</si>
  <si>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</si>
  <si>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</si>
  <si>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</si>
  <si>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</si>
  <si>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</si>
  <si>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</si>
  <si>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</si>
  <si>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</si>
  <si>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</si>
  <si>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</si>
  <si>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</si>
  <si>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</si>
  <si>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</si>
  <si>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</si>
  <si>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</si>
  <si>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</si>
  <si>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</si>
  <si>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</si>
  <si>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</si>
  <si>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</si>
  <si>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</si>
  <si>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</si>
  <si>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</si>
  <si>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</si>
  <si>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</si>
  <si>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</si>
  <si>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</si>
  <si>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</si>
  <si>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</si>
  <si>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</si>
  <si>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</si>
  <si>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</si>
  <si>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</si>
  <si>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</si>
  <si>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</si>
  <si>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</si>
  <si>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</si>
  <si>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</si>
  <si>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</si>
  <si>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</si>
  <si>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</si>
  <si>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</si>
  <si>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</si>
  <si>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</si>
  <si>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</si>
  <si>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</si>
  <si>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</si>
  <si>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</si>
  <si>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</si>
  <si>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</si>
  <si>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</si>
  <si>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</si>
  <si>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</si>
  <si>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</si>
  <si>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</si>
  <si>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</si>
  <si>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</si>
  <si>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</si>
  <si>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</si>
  <si>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</si>
  <si>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</si>
  <si>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</si>
  <si>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</si>
  <si>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</si>
  <si>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</si>
  <si>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</si>
  <si>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</si>
  <si>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</si>
  <si>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</si>
  <si>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</si>
  <si>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</si>
  <si>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</si>
  <si>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</si>
  <si>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</si>
  <si>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</si>
  <si>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</si>
  <si>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</si>
  <si>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</si>
  <si>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</si>
  <si>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</si>
  <si>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</si>
  <si>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</si>
  <si>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</si>
  <si>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</si>
  <si>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</si>
  <si>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</si>
  <si>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</si>
  <si>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</si>
  <si>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</si>
  <si>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</si>
  <si>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</si>
  <si>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</si>
  <si>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</si>
  <si>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</si>
  <si>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</si>
  <si>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</si>
  <si>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</si>
  <si>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</si>
  <si>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</si>
  <si>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</si>
  <si>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</si>
  <si>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</si>
  <si>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</si>
  <si>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</si>
  <si>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</si>
  <si>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</si>
  <si>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</si>
  <si>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</si>
  <si>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</si>
  <si>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</si>
  <si>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</si>
  <si>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</si>
  <si>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26408220</t>
  </si>
  <si>
    <t>МУП "Благоустройство и ЖКХ"</t>
  </si>
  <si>
    <t>3410005015</t>
  </si>
  <si>
    <t>18-04-2006 00:00:00</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</si>
  <si>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</si>
  <si>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</si>
  <si>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</si>
  <si>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</si>
  <si>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</si>
  <si>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</si>
  <si>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</si>
  <si>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</si>
  <si>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</si>
  <si>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</si>
  <si>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</si>
  <si>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</si>
  <si>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</si>
  <si>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</si>
  <si>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</si>
  <si>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</si>
  <si>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</si>
  <si>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</si>
  <si>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</si>
  <si>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</si>
  <si>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</si>
  <si>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</si>
  <si>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</si>
  <si>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</si>
  <si>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</si>
  <si>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</si>
  <si>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</si>
  <si>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</si>
  <si>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</si>
  <si>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</si>
  <si>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</si>
  <si>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</si>
  <si>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</si>
  <si>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</si>
  <si>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</si>
  <si>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</si>
  <si>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</si>
  <si>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</si>
  <si>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</si>
  <si>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</si>
  <si>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</si>
  <si>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</si>
  <si>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</si>
  <si>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</si>
  <si>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</si>
  <si>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</si>
  <si>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</si>
  <si>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</si>
  <si>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</si>
  <si>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</si>
  <si>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</si>
  <si>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</si>
  <si>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31536158</t>
  </si>
  <si>
    <t>МУП "Заливское"</t>
  </si>
  <si>
    <t>3458003560</t>
  </si>
  <si>
    <t>17-01-2024 00:00:00</t>
  </si>
  <si>
    <t>30831998</t>
  </si>
  <si>
    <t>МУП "Искринский" МО Искринское сельское поселение</t>
  </si>
  <si>
    <t>3457001256</t>
  </si>
  <si>
    <t>06-03-2014 00:00:00</t>
  </si>
  <si>
    <t>03-07-2024 00:00:00</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</si>
  <si>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</si>
  <si>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</si>
  <si>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</si>
  <si>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</si>
  <si>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</si>
  <si>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</si>
  <si>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</si>
  <si>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</si>
  <si>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</si>
  <si>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</si>
  <si>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</si>
  <si>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</si>
  <si>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</si>
  <si>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</si>
  <si>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</si>
  <si>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</si>
  <si>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</si>
  <si>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</si>
  <si>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</si>
  <si>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</si>
  <si>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</si>
  <si>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</si>
  <si>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</si>
  <si>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</si>
  <si>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</si>
  <si>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</si>
  <si>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</si>
  <si>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26598503</t>
  </si>
  <si>
    <t>МУП "Кременское ЖКХ"</t>
  </si>
  <si>
    <t>3412301718</t>
  </si>
  <si>
    <t>16-07-2007 00:00:00</t>
  </si>
  <si>
    <t>28-05-2024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</si>
  <si>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</si>
  <si>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</si>
  <si>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</si>
  <si>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</si>
  <si>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</si>
  <si>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</si>
  <si>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</si>
  <si>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</si>
  <si>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</si>
  <si>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</si>
  <si>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</si>
  <si>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</si>
  <si>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</si>
  <si>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</si>
  <si>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</si>
  <si>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</si>
  <si>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</si>
  <si>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</si>
  <si>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</si>
  <si>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</si>
  <si>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</si>
  <si>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</si>
  <si>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</si>
  <si>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</si>
  <si>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</si>
  <si>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</si>
  <si>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</si>
  <si>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</si>
  <si>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</si>
  <si>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</si>
  <si>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</si>
  <si>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</si>
  <si>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</si>
  <si>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</si>
  <si>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</si>
  <si>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</si>
  <si>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</si>
  <si>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</si>
  <si>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</si>
  <si>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</si>
  <si>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</si>
  <si>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</si>
  <si>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</si>
  <si>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</si>
  <si>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</si>
  <si>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</si>
  <si>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</si>
  <si>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</si>
  <si>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</si>
  <si>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</si>
  <si>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</si>
  <si>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</si>
  <si>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</si>
  <si>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</si>
  <si>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</si>
  <si>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</si>
  <si>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</si>
  <si>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</si>
  <si>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</si>
  <si>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</si>
  <si>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</si>
  <si>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</si>
  <si>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</si>
  <si>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</si>
  <si>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</si>
  <si>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</si>
  <si>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30432671</t>
  </si>
  <si>
    <t>МУП "Степное"</t>
  </si>
  <si>
    <t>3454002043</t>
  </si>
  <si>
    <t>05-07-2024 00:00:00</t>
  </si>
  <si>
    <t>31007069</t>
  </si>
  <si>
    <t>МУП "Трехостровское ЖКХ"</t>
  </si>
  <si>
    <t>3455053210</t>
  </si>
  <si>
    <t>20-06-2017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</si>
  <si>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</si>
  <si>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</si>
  <si>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</si>
  <si>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</si>
  <si>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</si>
  <si>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</si>
  <si>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</si>
  <si>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</si>
  <si>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</si>
  <si>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</si>
  <si>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</si>
  <si>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</si>
  <si>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</si>
  <si>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</si>
  <si>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</si>
  <si>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</si>
  <si>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</si>
  <si>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</si>
  <si>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</si>
  <si>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</si>
  <si>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</si>
  <si>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</si>
  <si>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</si>
  <si>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</si>
  <si>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</si>
  <si>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30388145</t>
  </si>
  <si>
    <t>МУП КХ "Приморск"</t>
  </si>
  <si>
    <t>3454002445</t>
  </si>
  <si>
    <t>07-06-2015 00:00:00</t>
  </si>
  <si>
    <t>04-09-2024 00:00:00</t>
  </si>
  <si>
    <t>31600216</t>
  </si>
  <si>
    <t>МУП Качалинское ЖКХ</t>
  </si>
  <si>
    <t>3455055841</t>
  </si>
  <si>
    <t>20-07-2021 00:00:00</t>
  </si>
  <si>
    <t>27918001</t>
  </si>
  <si>
    <t>МУП Коммунальное хозяйство "Быково"</t>
  </si>
  <si>
    <t>3402006625</t>
  </si>
  <si>
    <t>26-04-2012 00:00:00</t>
  </si>
  <si>
    <t>28053748</t>
  </si>
  <si>
    <t>МУП городского поселения г.Котово "Водоканал"</t>
  </si>
  <si>
    <t>3414016635</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</si>
  <si>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</si>
  <si>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</si>
  <si>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</si>
  <si>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</si>
  <si>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</si>
  <si>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</si>
  <si>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</si>
  <si>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</si>
  <si>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</si>
  <si>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</si>
  <si>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</si>
  <si>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</si>
  <si>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</si>
  <si>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</si>
  <si>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</si>
  <si>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</si>
  <si>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</si>
  <si>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</si>
  <si>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</si>
  <si>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</si>
  <si>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</si>
  <si>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</si>
  <si>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</si>
  <si>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</si>
  <si>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</si>
  <si>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</si>
  <si>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</si>
  <si>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</si>
  <si>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</si>
  <si>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</si>
  <si>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</si>
  <si>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</si>
  <si>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</si>
  <si>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</si>
  <si>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</si>
  <si>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</si>
  <si>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</si>
  <si>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</si>
  <si>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</si>
  <si>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</si>
  <si>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</si>
  <si>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</si>
  <si>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</si>
  <si>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</si>
  <si>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</si>
  <si>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</si>
  <si>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</si>
  <si>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</si>
  <si>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</si>
  <si>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</si>
  <si>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</si>
  <si>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</si>
  <si>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</si>
  <si>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</si>
  <si>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</si>
  <si>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</si>
  <si>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</si>
  <si>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</si>
  <si>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</si>
  <si>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</si>
  <si>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</si>
  <si>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</si>
  <si>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</si>
  <si>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</si>
  <si>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</si>
  <si>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</si>
  <si>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</si>
  <si>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</si>
  <si>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</si>
  <si>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</si>
  <si>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</si>
  <si>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</si>
  <si>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</si>
  <si>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</si>
  <si>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</si>
  <si>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</si>
  <si>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</si>
  <si>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</si>
  <si>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</si>
  <si>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</si>
  <si>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</si>
  <si>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</si>
  <si>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</si>
  <si>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</si>
  <si>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</si>
  <si>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</si>
  <si>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</si>
  <si>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</si>
  <si>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</si>
  <si>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</si>
  <si>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</si>
  <si>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</si>
  <si>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</si>
  <si>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</si>
  <si>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</si>
  <si>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</si>
  <si>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</si>
  <si>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</si>
  <si>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</si>
  <si>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</si>
  <si>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</si>
  <si>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</si>
  <si>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</si>
  <si>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</si>
  <si>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</si>
  <si>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</si>
  <si>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</si>
  <si>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</si>
  <si>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</si>
  <si>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28435831</t>
  </si>
  <si>
    <t>ООО "Аквастрой"</t>
  </si>
  <si>
    <t>3436014656</t>
  </si>
  <si>
    <t>04-08-2004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</si>
  <si>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</si>
  <si>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</si>
  <si>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</si>
  <si>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</si>
  <si>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</si>
  <si>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</si>
  <si>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</si>
  <si>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</si>
  <si>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</si>
  <si>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</si>
  <si>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</si>
  <si>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</si>
  <si>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</si>
  <si>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</si>
  <si>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</si>
  <si>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</si>
  <si>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</si>
  <si>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</si>
  <si>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</si>
  <si>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</si>
  <si>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</si>
  <si>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</si>
  <si>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</si>
  <si>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</si>
  <si>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</si>
  <si>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</si>
  <si>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</si>
  <si>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</si>
  <si>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</si>
  <si>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</si>
  <si>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</si>
  <si>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</si>
  <si>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</si>
  <si>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</si>
  <si>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</si>
  <si>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</si>
  <si>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</si>
  <si>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</si>
  <si>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</si>
  <si>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</si>
  <si>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</si>
  <si>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</si>
  <si>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</si>
  <si>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</si>
  <si>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</si>
  <si>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</si>
  <si>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</si>
  <si>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</si>
  <si>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</si>
  <si>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</si>
  <si>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</si>
  <si>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</si>
  <si>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</si>
  <si>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</si>
  <si>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</si>
  <si>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</si>
  <si>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</si>
  <si>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</si>
  <si>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</si>
  <si>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</si>
  <si>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</si>
  <si>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</si>
  <si>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</si>
  <si>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</si>
  <si>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</si>
  <si>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</si>
  <si>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</si>
  <si>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</si>
  <si>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</si>
  <si>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</si>
  <si>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</si>
  <si>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</si>
  <si>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</si>
  <si>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</si>
  <si>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</si>
  <si>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</si>
  <si>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</si>
  <si>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</si>
  <si>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</si>
  <si>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</si>
  <si>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</si>
  <si>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</si>
  <si>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</si>
  <si>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</si>
  <si>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</si>
  <si>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</si>
  <si>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</si>
  <si>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</si>
  <si>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</si>
  <si>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</si>
  <si>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</si>
  <si>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</si>
  <si>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</si>
  <si>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</si>
  <si>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</si>
  <si>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</si>
  <si>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</si>
  <si>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</si>
  <si>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</si>
  <si>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</si>
  <si>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</si>
  <si>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</si>
  <si>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</si>
  <si>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</si>
  <si>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</si>
  <si>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</si>
  <si>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</si>
  <si>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</si>
  <si>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</si>
  <si>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</si>
  <si>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</si>
  <si>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</si>
  <si>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</si>
  <si>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</si>
  <si>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</si>
  <si>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</si>
  <si>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</si>
  <si>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</si>
  <si>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</si>
  <si>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</si>
  <si>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</si>
  <si>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</si>
  <si>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</si>
  <si>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</si>
  <si>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</si>
  <si>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</si>
  <si>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</si>
  <si>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</si>
  <si>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</si>
  <si>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</si>
  <si>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</si>
  <si>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</si>
  <si>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</si>
  <si>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</si>
  <si>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</si>
  <si>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</si>
  <si>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</si>
  <si>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</si>
  <si>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</si>
  <si>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</si>
  <si>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</si>
  <si>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</si>
  <si>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</si>
  <si>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</si>
  <si>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</si>
  <si>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</si>
  <si>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</si>
  <si>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</si>
  <si>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</si>
  <si>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</si>
  <si>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</si>
  <si>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</si>
  <si>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</si>
  <si>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</si>
  <si>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</si>
  <si>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</si>
  <si>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</si>
  <si>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</si>
  <si>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</si>
  <si>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</si>
  <si>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</si>
  <si>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</si>
  <si>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</si>
  <si>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</si>
  <si>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</si>
  <si>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</si>
  <si>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</si>
  <si>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</si>
  <si>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</si>
  <si>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</si>
  <si>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</si>
  <si>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30908597</t>
  </si>
  <si>
    <t>МУП "Благоустройство" администрации городского поселения г.Котово</t>
  </si>
  <si>
    <t>3414016000</t>
  </si>
  <si>
    <t>20-09-2024 00:00:00</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</si>
  <si>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</si>
  <si>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</si>
  <si>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</si>
  <si>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</si>
  <si>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</si>
  <si>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</si>
  <si>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</si>
  <si>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</si>
  <si>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</si>
  <si>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30908631</t>
  </si>
  <si>
    <t>Муниципальное унитарное предприятие "Благоустройство г.Палласовка"</t>
  </si>
  <si>
    <t>3423015130</t>
  </si>
  <si>
    <t>02-10-2024 00:00:00</t>
  </si>
  <si>
    <t>30908824</t>
  </si>
  <si>
    <t>Муниципальное унитарное предприятие "Управляющая компания"</t>
  </si>
  <si>
    <t>3413009346</t>
  </si>
  <si>
    <t>30908645</t>
  </si>
  <si>
    <t>Муниципальное унитарное предприятие "Усть-Медведицкое"</t>
  </si>
  <si>
    <t>3427007170</t>
  </si>
  <si>
    <t>24-05-2024 00:00:00</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</si>
  <si>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</si>
  <si>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</si>
  <si>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</si>
  <si>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</si>
  <si>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</si>
  <si>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</si>
  <si>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</si>
  <si>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</si>
  <si>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</si>
  <si>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</si>
  <si>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</si>
  <si>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</si>
  <si>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</si>
  <si>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</si>
  <si>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</si>
  <si>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</si>
  <si>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</si>
  <si>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</si>
  <si>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</si>
  <si>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</si>
  <si>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</si>
  <si>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</si>
  <si>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</si>
  <si>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</si>
  <si>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</si>
  <si>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</si>
  <si>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</si>
  <si>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</si>
  <si>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</si>
  <si>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</si>
  <si>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</si>
  <si>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</si>
  <si>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</si>
  <si>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</si>
  <si>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</si>
  <si>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</si>
  <si>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</si>
  <si>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</si>
  <si>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</si>
  <si>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</si>
  <si>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</si>
  <si>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</si>
  <si>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</si>
  <si>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</si>
  <si>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</si>
  <si>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</si>
  <si>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</si>
  <si>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</si>
  <si>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</si>
  <si>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</si>
  <si>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</si>
  <si>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</si>
  <si>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</si>
  <si>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</si>
  <si>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</si>
  <si>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</si>
  <si>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</si>
  <si>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30908943</t>
  </si>
  <si>
    <t>ООО"ГринСити"</t>
  </si>
  <si>
    <t>3460012650</t>
  </si>
  <si>
    <t>773600100</t>
  </si>
  <si>
    <t>15-04-2024 00:00:00</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</si>
  <si>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</si>
  <si>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</si>
  <si>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</si>
  <si>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</si>
  <si>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</si>
  <si>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</si>
  <si>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</si>
  <si>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</si>
  <si>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</si>
  <si>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</si>
  <si>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</si>
  <si>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</si>
  <si>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</si>
  <si>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30908947</t>
  </si>
  <si>
    <t>ООО"ЭкоНормаТранс"</t>
  </si>
  <si>
    <t>3455051340</t>
  </si>
  <si>
    <t>29-05-2024 00:00:00</t>
  </si>
  <si>
    <t>30908668</t>
  </si>
  <si>
    <t>Общество с ограниченной ответственностью  "Многоотраслевое объединение Омега"</t>
  </si>
  <si>
    <t>3454000952</t>
  </si>
  <si>
    <t>30908627</t>
  </si>
  <si>
    <t>Общество с ограниченной ответственностью "Чистая Ольховка"</t>
  </si>
  <si>
    <t>3453003485</t>
  </si>
  <si>
    <t>07-08-2024 00:00:00</t>
  </si>
  <si>
    <t>30908613</t>
  </si>
  <si>
    <t>Общество с ограниченной ответственностью «Михайловское жилищное хозяйство»</t>
  </si>
  <si>
    <t>3456002970</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</si>
  <si>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</si>
  <si>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</si>
  <si>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</si>
  <si>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</si>
  <si>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</si>
  <si>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</si>
  <si>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</si>
  <si>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</si>
  <si>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</si>
  <si>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</si>
  <si>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</si>
  <si>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</si>
  <si>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</si>
  <si>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</si>
  <si>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</si>
  <si>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</si>
  <si>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</si>
  <si>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</si>
  <si>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</si>
  <si>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</si>
  <si>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</si>
  <si>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</si>
  <si>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</si>
  <si>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</si>
  <si>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</si>
  <si>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</si>
  <si>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</si>
  <si>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</si>
  <si>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</si>
  <si>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</si>
  <si>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</si>
  <si>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</si>
  <si>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</si>
  <si>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</si>
  <si>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</si>
  <si>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</si>
  <si>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</si>
  <si>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</si>
  <si>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</si>
  <si>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</si>
  <si>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</si>
  <si>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</si>
  <si>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</si>
  <si>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</si>
  <si>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</si>
  <si>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</si>
  <si>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</si>
  <si>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</si>
  <si>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</si>
  <si>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</si>
  <si>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</si>
  <si>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</si>
  <si>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</si>
  <si>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</si>
  <si>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</si>
  <si>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</si>
  <si>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</si>
  <si>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</si>
  <si>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</si>
  <si>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</si>
  <si>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</si>
  <si>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</si>
  <si>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</si>
  <si>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</si>
  <si>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</si>
  <si>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</si>
  <si>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</si>
  <si>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</si>
  <si>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</si>
  <si>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</si>
  <si>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</si>
  <si>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</si>
  <si>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</si>
  <si>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</si>
  <si>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</si>
  <si>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</si>
  <si>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</si>
  <si>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</si>
  <si>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</si>
  <si>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</si>
  <si>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</si>
  <si>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</si>
  <si>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</si>
  <si>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</si>
  <si>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</si>
  <si>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</si>
  <si>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</si>
  <si>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</si>
  <si>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</si>
  <si>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</si>
  <si>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</si>
  <si>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</si>
  <si>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</si>
  <si>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</si>
  <si>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</si>
  <si>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</si>
  <si>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</si>
  <si>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</si>
  <si>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</si>
  <si>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</si>
  <si>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</si>
  <si>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</si>
  <si>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</si>
  <si>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</si>
  <si>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</si>
  <si>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</si>
  <si>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</si>
  <si>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</si>
  <si>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</si>
  <si>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</si>
  <si>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</si>
  <si>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</si>
  <si>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</si>
  <si>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</si>
  <si>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</si>
  <si>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</si>
  <si>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</si>
  <si>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</si>
  <si>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</si>
  <si>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</si>
  <si>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</si>
  <si>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</si>
  <si>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</si>
  <si>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</si>
  <si>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</si>
  <si>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</si>
  <si>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</si>
  <si>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</si>
  <si>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</si>
  <si>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</si>
  <si>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</si>
  <si>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</si>
  <si>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</si>
  <si>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</si>
  <si>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</si>
  <si>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</si>
  <si>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</si>
  <si>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</si>
  <si>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</si>
  <si>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</si>
  <si>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</si>
  <si>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</si>
  <si>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</si>
  <si>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</si>
  <si>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</si>
  <si>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</si>
  <si>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</si>
  <si>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</si>
  <si>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</si>
  <si>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</si>
  <si>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</si>
  <si>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</si>
  <si>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</si>
  <si>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</si>
  <si>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</si>
  <si>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</si>
  <si>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</si>
  <si>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</si>
  <si>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</si>
  <si>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</si>
  <si>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</si>
  <si>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</si>
  <si>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</si>
  <si>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</si>
  <si>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</si>
  <si>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</si>
  <si>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</si>
  <si>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</si>
  <si>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</si>
  <si>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</si>
  <si>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</si>
  <si>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</si>
  <si>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</si>
  <si>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</si>
  <si>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</si>
  <si>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</si>
  <si>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</si>
  <si>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</si>
  <si>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</si>
  <si>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</si>
  <si>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</si>
  <si>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</si>
  <si>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</si>
  <si>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</si>
  <si>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</si>
  <si>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</si>
  <si>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</si>
  <si>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</si>
  <si>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</si>
  <si>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</si>
  <si>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</si>
  <si>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</si>
  <si>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</si>
  <si>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</si>
  <si>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</si>
  <si>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</si>
  <si>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</si>
  <si>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</si>
  <si>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</si>
  <si>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</si>
  <si>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</si>
  <si>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</si>
  <si>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</si>
  <si>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</si>
  <si>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</si>
  <si>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</si>
  <si>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</si>
  <si>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</si>
  <si>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</si>
  <si>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</si>
  <si>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</si>
  <si>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</si>
  <si>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</si>
  <si>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</si>
  <si>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</si>
  <si>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</si>
  <si>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</si>
  <si>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</si>
  <si>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</si>
  <si>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</si>
  <si>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</si>
  <si>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</si>
  <si>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</si>
  <si>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</si>
  <si>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</si>
  <si>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</si>
  <si>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</si>
  <si>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</si>
  <si>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</si>
  <si>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</si>
  <si>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</si>
  <si>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</si>
  <si>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</si>
  <si>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</si>
  <si>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</si>
  <si>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</si>
  <si>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</si>
  <si>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</si>
  <si>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</si>
  <si>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</si>
  <si>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</si>
  <si>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</si>
  <si>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</si>
  <si>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</si>
  <si>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</si>
  <si>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</si>
  <si>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</si>
  <si>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</si>
  <si>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</si>
  <si>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</si>
  <si>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</si>
  <si>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</si>
  <si>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</si>
  <si>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</si>
  <si>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</si>
  <si>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</si>
  <si>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</si>
  <si>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</si>
  <si>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</si>
  <si>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</si>
  <si>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</si>
  <si>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</si>
  <si>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</si>
  <si>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</si>
  <si>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</si>
  <si>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</si>
  <si>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</si>
  <si>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</si>
  <si>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</si>
  <si>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</si>
  <si>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</si>
  <si>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</si>
  <si>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</si>
  <si>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</si>
  <si>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</si>
  <si>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</si>
  <si>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</si>
  <si>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</si>
  <si>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</si>
  <si>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</si>
  <si>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</si>
  <si>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</si>
  <si>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</si>
  <si>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</si>
  <si>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</si>
  <si>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</si>
  <si>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</si>
  <si>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</si>
  <si>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</si>
  <si>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</si>
  <si>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</si>
  <si>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</si>
  <si>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</si>
  <si>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</si>
  <si>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</si>
  <si>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</si>
  <si>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</si>
  <si>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</si>
  <si>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</si>
  <si>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</si>
  <si>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</si>
  <si>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</si>
  <si>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</si>
  <si>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</si>
  <si>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</si>
  <si>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</si>
  <si>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</si>
  <si>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</si>
  <si>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</si>
  <si>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</si>
  <si>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</si>
  <si>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</si>
  <si>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</si>
  <si>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</si>
  <si>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</si>
  <si>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</si>
  <si>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</si>
  <si>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</si>
  <si>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</si>
  <si>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</si>
  <si>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</si>
  <si>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</si>
  <si>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</si>
  <si>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</si>
  <si>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</si>
  <si>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</si>
  <si>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</si>
  <si>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</si>
  <si>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</si>
  <si>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</si>
  <si>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</si>
  <si>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</si>
  <si>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</si>
  <si>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</si>
  <si>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</si>
  <si>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</si>
  <si>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</si>
  <si>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</si>
  <si>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</si>
  <si>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</si>
  <si>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</si>
  <si>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</si>
  <si>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</si>
  <si>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</si>
  <si>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</si>
  <si>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</si>
  <si>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</si>
  <si>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</si>
  <si>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</si>
  <si>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</si>
  <si>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</si>
  <si>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</si>
  <si>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</si>
  <si>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</si>
  <si>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</si>
  <si>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</si>
  <si>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</si>
  <si>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</si>
  <si>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</si>
  <si>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</si>
  <si>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</si>
  <si>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</si>
  <si>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</si>
  <si>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</si>
  <si>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</si>
  <si>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</si>
  <si>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</si>
  <si>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</si>
  <si>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</si>
  <si>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</si>
  <si>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</si>
  <si>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</si>
  <si>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</si>
  <si>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</si>
  <si>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</si>
  <si>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</si>
  <si>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</si>
  <si>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</si>
  <si>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</si>
  <si>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</si>
  <si>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</si>
  <si>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</si>
  <si>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</si>
  <si>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</si>
  <si>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</si>
  <si>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</si>
  <si>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</si>
  <si>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</si>
  <si>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</si>
  <si>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</si>
  <si>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</si>
  <si>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</si>
  <si>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</si>
  <si>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</si>
  <si>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</si>
  <si>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</si>
  <si>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</si>
  <si>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</si>
  <si>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</si>
  <si>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</si>
  <si>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</si>
  <si>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</si>
  <si>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</si>
  <si>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</si>
  <si>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</si>
  <si>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</si>
  <si>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</si>
  <si>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</si>
  <si>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</si>
  <si>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</si>
  <si>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</si>
  <si>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</si>
  <si>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</si>
  <si>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</si>
  <si>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</si>
  <si>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</si>
  <si>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</si>
  <si>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</si>
  <si>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</si>
  <si>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</si>
  <si>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</si>
  <si>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</si>
  <si>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</si>
  <si>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</si>
  <si>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</si>
  <si>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</si>
  <si>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</si>
  <si>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</si>
  <si>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</si>
  <si>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</si>
  <si>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</si>
  <si>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</si>
  <si>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</si>
  <si>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</si>
  <si>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</si>
  <si>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</si>
  <si>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</si>
  <si>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</si>
  <si>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</si>
  <si>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</si>
  <si>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</si>
  <si>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</si>
  <si>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</si>
  <si>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</si>
  <si>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</si>
  <si>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</si>
  <si>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</si>
  <si>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</si>
  <si>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</si>
  <si>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</si>
  <si>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</si>
  <si>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</si>
  <si>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</si>
  <si>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</si>
  <si>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</si>
  <si>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</si>
  <si>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</si>
  <si>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</si>
  <si>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</si>
  <si>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</si>
  <si>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</si>
  <si>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</si>
  <si>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</si>
  <si>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</si>
  <si>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</si>
  <si>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</si>
  <si>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</si>
  <si>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</si>
  <si>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</si>
  <si>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</si>
  <si>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</si>
  <si>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</si>
  <si>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</si>
  <si>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</si>
  <si>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</si>
  <si>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</si>
  <si>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</si>
  <si>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</si>
  <si>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</si>
  <si>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</si>
  <si>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</si>
  <si>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</si>
  <si>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</si>
  <si>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</si>
  <si>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</si>
  <si>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</si>
  <si>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</si>
  <si>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</si>
  <si>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</si>
  <si>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</si>
  <si>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</si>
  <si>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</si>
  <si>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</si>
  <si>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</si>
  <si>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</si>
  <si>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</si>
  <si>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</si>
  <si>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</si>
  <si>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</si>
  <si>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</si>
  <si>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</si>
  <si>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</si>
  <si>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</si>
  <si>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</si>
  <si>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</si>
  <si>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</si>
  <si>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</si>
  <si>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</si>
  <si>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</si>
  <si>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</si>
  <si>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</si>
  <si>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</si>
  <si>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</si>
  <si>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</si>
  <si>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</si>
  <si>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</si>
  <si>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</si>
  <si>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</si>
  <si>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</si>
  <si>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</si>
  <si>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</si>
  <si>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</si>
  <si>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</si>
  <si>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</si>
  <si>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</si>
  <si>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</si>
  <si>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</si>
  <si>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</si>
  <si>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</si>
  <si>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</si>
  <si>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</si>
  <si>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</si>
  <si>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</si>
  <si>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</si>
  <si>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</si>
  <si>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</si>
  <si>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</si>
  <si>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</si>
  <si>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</si>
  <si>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</si>
  <si>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</si>
  <si>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</si>
  <si>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</si>
  <si>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</si>
  <si>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</si>
  <si>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</si>
  <si>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</si>
  <si>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</si>
  <si>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</si>
  <si>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</si>
  <si>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</si>
  <si>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</si>
  <si>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</si>
  <si>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</si>
  <si>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</si>
  <si>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</si>
  <si>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</si>
  <si>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</si>
  <si>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</si>
  <si>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</si>
  <si>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</si>
  <si>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</si>
  <si>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</si>
  <si>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</si>
  <si>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</si>
  <si>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</si>
  <si>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</si>
  <si>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</si>
  <si>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</si>
  <si>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</si>
  <si>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</si>
  <si>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</si>
  <si>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</si>
  <si>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</si>
  <si>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</si>
  <si>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</si>
  <si>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</si>
  <si>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</si>
  <si>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</si>
  <si>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</si>
  <si>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</si>
  <si>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</si>
  <si>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</si>
  <si>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</si>
  <si>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</si>
  <si>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</si>
  <si>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</si>
  <si>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</si>
  <si>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</si>
  <si>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</si>
  <si>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</si>
  <si>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</si>
  <si>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</si>
  <si>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</si>
  <si>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</si>
  <si>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</si>
  <si>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</si>
  <si>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</si>
  <si>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</si>
  <si>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</si>
  <si>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</si>
  <si>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</si>
  <si>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</si>
  <si>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</si>
  <si>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</si>
  <si>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</si>
  <si>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</si>
  <si>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</si>
  <si>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</si>
  <si>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</si>
  <si>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</si>
  <si>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</si>
  <si>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</si>
  <si>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</si>
  <si>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</si>
  <si>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</si>
  <si>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</si>
  <si>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</si>
  <si>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</si>
  <si>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</si>
  <si>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</si>
  <si>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</si>
  <si>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</si>
  <si>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</si>
  <si>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</si>
  <si>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</si>
  <si>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</si>
  <si>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</si>
  <si>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</si>
  <si>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</si>
  <si>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</si>
  <si>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</si>
  <si>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</si>
  <si>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</si>
  <si>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</si>
  <si>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</si>
  <si>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</si>
  <si>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</si>
  <si>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</si>
  <si>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</si>
  <si>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</si>
  <si>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</si>
  <si>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</si>
  <si>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</si>
  <si>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</si>
  <si>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</si>
  <si>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</si>
  <si>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</si>
  <si>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</si>
  <si>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</si>
  <si>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</si>
  <si>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</si>
  <si>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</si>
  <si>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</si>
  <si>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</si>
  <si>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</si>
  <si>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</si>
  <si>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</si>
  <si>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</si>
  <si>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</si>
  <si>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</si>
  <si>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</si>
  <si>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</si>
  <si>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</si>
  <si>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</si>
  <si>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</si>
  <si>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</si>
  <si>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</si>
  <si>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</si>
  <si>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</si>
  <si>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</si>
  <si>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</si>
  <si>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</si>
  <si>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</si>
  <si>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</si>
  <si>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</si>
  <si>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</si>
  <si>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</si>
  <si>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</si>
  <si>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</si>
  <si>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</si>
  <si>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</si>
  <si>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</si>
  <si>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</si>
  <si>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</si>
  <si>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</si>
  <si>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</si>
  <si>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</si>
  <si>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</si>
  <si>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</si>
  <si>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</si>
  <si>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</si>
  <si>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</si>
  <si>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</si>
  <si>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</si>
  <si>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</si>
  <si>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</si>
  <si>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</si>
  <si>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</si>
  <si>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</si>
  <si>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</si>
  <si>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</si>
  <si>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</si>
  <si>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</si>
  <si>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</si>
  <si>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</si>
  <si>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</si>
  <si>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</si>
  <si>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</si>
  <si>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</si>
  <si>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</si>
  <si>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</si>
  <si>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</si>
  <si>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</si>
  <si>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</si>
  <si>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</si>
  <si>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</si>
  <si>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</si>
  <si>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</si>
  <si>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</si>
  <si>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</si>
  <si>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</si>
  <si>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</si>
  <si>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</si>
  <si>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</si>
  <si>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</si>
  <si>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</si>
  <si>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</si>
  <si>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</si>
  <si>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</si>
  <si>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</si>
  <si>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</si>
  <si>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</si>
  <si>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</si>
  <si>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</si>
  <si>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</si>
  <si>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</si>
  <si>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</si>
  <si>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</si>
  <si>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</si>
  <si>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</si>
  <si>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</si>
  <si>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</si>
  <si>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</si>
  <si>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</si>
  <si>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</si>
  <si>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</si>
  <si>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</si>
  <si>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</si>
  <si>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</si>
  <si>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</si>
  <si>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</si>
  <si>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</si>
  <si>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</si>
  <si>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</si>
  <si>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</si>
  <si>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</si>
  <si>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</si>
  <si>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</si>
  <si>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</si>
  <si>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</si>
  <si>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</si>
  <si>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</si>
  <si>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</si>
  <si>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</si>
  <si>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</si>
  <si>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</si>
  <si>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</si>
  <si>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</si>
  <si>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</si>
  <si>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</si>
  <si>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</si>
  <si>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</si>
  <si>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</si>
  <si>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</si>
  <si>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</si>
  <si>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</si>
  <si>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</si>
  <si>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</si>
  <si>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</si>
  <si>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</si>
  <si>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</si>
  <si>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</si>
  <si>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</si>
  <si>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</si>
  <si>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</si>
  <si>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</si>
  <si>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</si>
  <si>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</si>
  <si>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</si>
  <si>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</si>
  <si>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</si>
  <si>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</si>
  <si>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</si>
  <si>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</si>
  <si>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</si>
  <si>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</si>
  <si>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</si>
  <si>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</si>
  <si>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</si>
  <si>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</si>
  <si>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</si>
  <si>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</si>
  <si>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</si>
  <si>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</si>
  <si>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</si>
  <si>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</si>
  <si>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</si>
  <si>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</si>
  <si>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</si>
  <si>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</si>
  <si>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</si>
  <si>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</si>
  <si>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</si>
  <si>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</si>
  <si>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</si>
  <si>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</si>
  <si>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</si>
  <si>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</si>
  <si>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</si>
  <si>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</si>
  <si>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</si>
  <si>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</si>
  <si>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</si>
  <si>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</si>
  <si>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</si>
  <si>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</si>
  <si>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</si>
  <si>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</si>
  <si>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</si>
  <si>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</si>
  <si>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</si>
  <si>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</si>
  <si>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</si>
  <si>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</si>
  <si>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</si>
  <si>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</si>
  <si>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</si>
  <si>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</si>
  <si>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</si>
  <si>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</si>
  <si>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</si>
  <si>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</si>
  <si>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</si>
  <si>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</si>
  <si>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</si>
  <si>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</si>
  <si>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</si>
  <si>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</si>
  <si>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</si>
  <si>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</si>
  <si>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</si>
  <si>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</si>
  <si>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</si>
  <si>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</si>
  <si>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</si>
  <si>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</si>
  <si>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</si>
  <si>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</si>
  <si>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</si>
  <si>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</si>
  <si>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</si>
  <si>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</si>
  <si>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</si>
  <si>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</si>
  <si>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</si>
  <si>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</si>
  <si>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</si>
  <si>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</si>
  <si>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</si>
  <si>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</si>
  <si>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</si>
  <si>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</si>
  <si>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</si>
  <si>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</si>
  <si>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</si>
  <si>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</si>
  <si>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</si>
  <si>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</si>
  <si>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</si>
  <si>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</si>
  <si>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</si>
  <si>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</si>
  <si>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</si>
  <si>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</si>
  <si>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</si>
  <si>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</si>
  <si>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</si>
  <si>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</si>
  <si>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</si>
  <si>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</si>
  <si>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</si>
  <si>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</si>
  <si>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</si>
  <si>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</si>
  <si>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</si>
  <si>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</si>
  <si>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</si>
  <si>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</si>
  <si>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</si>
  <si>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</si>
  <si>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</si>
  <si>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</si>
  <si>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</si>
  <si>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</si>
  <si>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</si>
  <si>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</si>
  <si>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</si>
  <si>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</si>
  <si>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</si>
  <si>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</si>
  <si>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</si>
  <si>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</si>
  <si>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</si>
  <si>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</si>
  <si>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</si>
  <si>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</si>
  <si>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</si>
  <si>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</si>
  <si>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</si>
  <si>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</si>
  <si>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</si>
  <si>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</si>
  <si>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</si>
  <si>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</si>
  <si>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</si>
  <si>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</si>
  <si>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</si>
  <si>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</si>
  <si>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</si>
  <si>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</si>
  <si>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</si>
  <si>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</si>
  <si>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</si>
  <si>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</si>
  <si>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</si>
  <si>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</si>
  <si>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</si>
  <si>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</si>
  <si>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</si>
  <si>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</si>
  <si>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</si>
  <si>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</si>
  <si>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</si>
  <si>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</si>
  <si>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</si>
  <si>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</si>
  <si>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</si>
  <si>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</si>
  <si>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</si>
  <si>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</si>
  <si>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</si>
  <si>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</si>
  <si>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</si>
  <si>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</si>
  <si>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</si>
  <si>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</si>
  <si>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</si>
  <si>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</si>
  <si>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</si>
  <si>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</si>
  <si>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</si>
  <si>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</si>
  <si>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</si>
  <si>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</si>
  <si>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</si>
  <si>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</si>
  <si>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</si>
  <si>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</si>
  <si>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</si>
  <si>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</si>
  <si>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</si>
  <si>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</si>
  <si>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</si>
  <si>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</si>
  <si>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</si>
  <si>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</si>
  <si>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</si>
  <si>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</si>
  <si>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</si>
  <si>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</si>
  <si>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</si>
  <si>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</si>
  <si>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</si>
  <si>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</si>
  <si>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</si>
  <si>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</si>
  <si>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</si>
  <si>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</si>
  <si>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</si>
  <si>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</si>
  <si>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</si>
  <si>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</si>
  <si>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</si>
  <si>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</si>
  <si>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</si>
  <si>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</si>
  <si>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</si>
  <si>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</si>
  <si>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</si>
  <si>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</si>
  <si>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</si>
  <si>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</si>
  <si>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</si>
  <si>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</si>
  <si>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</si>
  <si>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</si>
  <si>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</si>
  <si>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</si>
  <si>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</si>
  <si>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</si>
  <si>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</si>
  <si>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</si>
  <si>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</si>
  <si>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</si>
  <si>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</si>
  <si>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</si>
  <si>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</si>
  <si>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</si>
  <si>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</si>
  <si>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</si>
  <si>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</si>
  <si>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</si>
  <si>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</si>
  <si>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</si>
  <si>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</si>
  <si>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</si>
  <si>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</si>
  <si>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</si>
  <si>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</si>
  <si>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</si>
  <si>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</si>
  <si>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</si>
  <si>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</si>
  <si>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</si>
  <si>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</si>
  <si>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</si>
  <si>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</si>
  <si>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</si>
  <si>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</si>
  <si>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</si>
  <si>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</si>
  <si>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</si>
  <si>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</si>
  <si>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</si>
  <si>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</si>
  <si>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</si>
  <si>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</si>
  <si>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</si>
  <si>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</si>
  <si>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</si>
  <si>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</si>
  <si>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</si>
  <si>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</si>
  <si>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</si>
  <si>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</si>
  <si>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</si>
  <si>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</si>
  <si>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</si>
  <si>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</si>
  <si>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</si>
  <si>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</si>
  <si>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</si>
  <si>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</si>
  <si>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</si>
  <si>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</si>
  <si>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</si>
  <si>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</si>
  <si>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</si>
  <si>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</si>
  <si>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</si>
  <si>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</si>
  <si>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</si>
  <si>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</si>
  <si>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</si>
  <si>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</si>
  <si>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</si>
  <si>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</si>
  <si>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</si>
  <si>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</si>
  <si>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</si>
  <si>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</si>
  <si>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</si>
  <si>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</si>
  <si>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</si>
  <si>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</si>
  <si>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</si>
  <si>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</si>
  <si>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</si>
  <si>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</si>
  <si>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</si>
  <si>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</si>
  <si>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</si>
  <si>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</si>
  <si>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</si>
  <si>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</si>
  <si>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</si>
  <si>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</si>
  <si>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</si>
  <si>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</si>
  <si>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</si>
  <si>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</si>
  <si>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</si>
  <si>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</si>
  <si>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</si>
  <si>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</si>
  <si>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</si>
  <si>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</si>
  <si>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</si>
  <si>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</si>
  <si>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</si>
  <si>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</si>
  <si>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</si>
  <si>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</si>
  <si>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</si>
  <si>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</si>
  <si>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</si>
  <si>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</si>
  <si>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</si>
  <si>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</si>
  <si>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</si>
  <si>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</si>
  <si>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</si>
  <si>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</si>
  <si>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</si>
  <si>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</si>
  <si>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</si>
  <si>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</si>
  <si>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</si>
  <si>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</si>
  <si>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</si>
  <si>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</si>
  <si>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</si>
  <si>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</si>
  <si>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</si>
  <si>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</si>
  <si>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</si>
  <si>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</si>
  <si>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</si>
  <si>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</si>
  <si>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</si>
  <si>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</si>
  <si>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</si>
  <si>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</si>
  <si>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</si>
  <si>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</si>
  <si>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</si>
  <si>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</si>
  <si>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</si>
  <si>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</si>
  <si>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</si>
  <si>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</si>
  <si>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</si>
  <si>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</si>
  <si>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</si>
  <si>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</si>
  <si>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</si>
  <si>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</si>
  <si>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</si>
  <si>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</si>
  <si>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</si>
  <si>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</si>
  <si>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</si>
  <si>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</si>
  <si>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</si>
  <si>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</si>
  <si>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</si>
  <si>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</si>
  <si>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</si>
  <si>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</si>
  <si>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</si>
  <si>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</si>
  <si>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</si>
  <si>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</si>
  <si>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</si>
  <si>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</si>
  <si>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</si>
  <si>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</si>
  <si>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</si>
  <si>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</si>
  <si>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</si>
  <si>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</si>
  <si>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</si>
  <si>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</si>
  <si>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</si>
  <si>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</si>
  <si>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</si>
  <si>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</si>
  <si>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</si>
  <si>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</si>
  <si>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</si>
  <si>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</si>
  <si>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</si>
  <si>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</si>
  <si>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</si>
  <si>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</si>
  <si>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</si>
  <si>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</si>
  <si>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</si>
  <si>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</si>
  <si>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</si>
  <si>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</si>
  <si>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</si>
  <si>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</si>
  <si>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</si>
  <si>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</si>
  <si>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</si>
  <si>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</si>
  <si>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</si>
  <si>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</si>
  <si>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</si>
  <si>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</si>
  <si>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</si>
  <si>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</si>
  <si>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</si>
  <si>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</si>
  <si>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</si>
  <si>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</si>
  <si>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</si>
  <si>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</si>
  <si>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</si>
  <si>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</si>
  <si>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</si>
  <si>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</si>
  <si>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</si>
  <si>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</si>
  <si>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</si>
  <si>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</si>
  <si>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</si>
  <si>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</si>
  <si>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</si>
  <si>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</si>
  <si>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</si>
  <si>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</si>
  <si>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</si>
  <si>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</si>
  <si>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</si>
  <si>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</si>
  <si>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</si>
  <si>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</si>
  <si>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</si>
  <si>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</si>
  <si>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</si>
  <si>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</si>
  <si>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</si>
  <si>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</si>
  <si>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</si>
  <si>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</si>
  <si>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</si>
  <si>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</si>
  <si>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</si>
  <si>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</si>
  <si>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</si>
  <si>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</si>
  <si>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</si>
  <si>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</si>
  <si>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</si>
  <si>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</si>
  <si>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</si>
  <si>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</si>
  <si>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</si>
  <si>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</si>
  <si>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</si>
  <si>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</si>
  <si>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</si>
  <si>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</si>
  <si>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</si>
  <si>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</si>
  <si>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</si>
  <si>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</si>
  <si>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</si>
  <si>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</si>
  <si>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</si>
  <si>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</si>
  <si>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</si>
  <si>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</si>
  <si>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</si>
  <si>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</si>
  <si>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</si>
  <si>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</si>
  <si>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</si>
  <si>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</si>
  <si>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</si>
  <si>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</si>
  <si>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</si>
  <si>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</si>
  <si>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</si>
  <si>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</si>
  <si>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</si>
  <si>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</si>
  <si>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</si>
  <si>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</si>
  <si>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</si>
  <si>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</si>
  <si>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</si>
  <si>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</si>
  <si>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</si>
  <si>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</si>
  <si>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</si>
  <si>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</si>
  <si>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</si>
  <si>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</si>
  <si>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</si>
  <si>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</si>
  <si>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</si>
  <si>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</si>
  <si>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</si>
  <si>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</si>
  <si>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</si>
  <si>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</si>
  <si>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</si>
  <si>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</si>
  <si>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</si>
  <si>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</si>
  <si>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</si>
  <si>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</si>
  <si>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</si>
  <si>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</si>
  <si>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</si>
  <si>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</si>
  <si>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</si>
  <si>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</si>
  <si>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</si>
  <si>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</si>
  <si>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</si>
  <si>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</si>
  <si>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Инвестиционная программа № 35/3 от 28.10.2020 МУП г. Камышина "ПУВКХ" в сфере водоснабжения по модернизации инфраструктуры, на территории городского округа Камышин на 2021-2026 годы</t>
  </si>
  <si>
    <t>01.01.2021</t>
  </si>
  <si>
    <t>31.12.2026</t>
  </si>
  <si>
    <t>Инвестиционная программа № 35/3 от 28.10.2020 МУП г. Камышина "ПУВКХ" в сфере холодного водоснабжения по модернизации, реконструкции и техническому перевооружению объектов централизованной системы водоснабжения, на территории городского округа Камышин на 2021-2026 годы</t>
  </si>
  <si>
    <t>Инвестиционная программа от 28.10.2022 ООО "Концессии водоснабжения" в сфере водоснабжения и водоотведения по развитию, модернизации и реконструкции систем инженерной инфраструктуры, на территории городского округа город-герой Волгоград на 2023-2027 годы</t>
  </si>
  <si>
    <t>01.01.2023</t>
  </si>
  <si>
    <t>31.12.2027</t>
  </si>
  <si>
    <t>TER_NAME</t>
  </si>
  <si>
    <t>Территория 1</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</si>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</sst>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2">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lasenko78@yandex.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64" t="s">
        <v>1</v>
      </c>
      <c r="C2" s="2064"/>
      <c r="D2" s="2064"/>
      <c r="E2" s="2064"/>
      <c r="F2" s="2064"/>
      <c r="G2" s="2064"/>
      <c r="H2" s="2064"/>
      <c r="I2" s="2064"/>
      <c r="J2" s="2064"/>
      <c r="K2" s="2064"/>
      <c r="L2" s="2064"/>
      <c r="M2" s="2064"/>
      <c r="N2" s="2064"/>
      <c r="O2" s="2064"/>
      <c r="P2" s="2064"/>
      <c r="Q2" s="1632"/>
      <c r="R2" s="1632"/>
      <c r="S2" s="1632"/>
      <c r="T2" s="1632"/>
      <c r="U2" s="1632"/>
      <c r="V2" s="1633"/>
      <c r="W2" s="1632"/>
      <c r="X2" s="1632"/>
      <c r="Y2" s="1629"/>
      <c r="Z2" s="1628"/>
      <c r="AA2" s="1630"/>
      <c r="AB2" s="1628"/>
    </row>
    <row r="3" spans="1:28" ht="15.75" customHeight="1">
      <c r="A3" s="1628"/>
      <c r="B3" s="2065" t="s">
        <v>2</v>
      </c>
      <c r="C3" s="2065"/>
      <c r="D3" s="2065"/>
      <c r="E3" s="2065"/>
      <c r="F3" s="2065"/>
      <c r="G3" s="2065"/>
      <c r="H3" s="2065"/>
      <c r="I3" s="2065"/>
      <c r="J3" s="2065"/>
      <c r="K3" s="2065"/>
      <c r="L3" s="2065"/>
      <c r="M3" s="2065"/>
      <c r="N3" s="2065"/>
      <c r="O3" s="2065"/>
      <c r="P3" s="2065"/>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6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67"/>
      <c r="D5" s="2067"/>
      <c r="E5" s="2067"/>
      <c r="F5" s="2067"/>
      <c r="G5" s="2067"/>
      <c r="H5" s="2067"/>
      <c r="I5" s="2067"/>
      <c r="J5" s="2067"/>
      <c r="K5" s="2067"/>
      <c r="L5" s="2067"/>
      <c r="M5" s="2067"/>
      <c r="N5" s="2067"/>
      <c r="O5" s="2067"/>
      <c r="P5" s="2067"/>
      <c r="Q5" s="2067"/>
      <c r="R5" s="2067"/>
      <c r="S5" s="2067"/>
      <c r="T5" s="2067"/>
      <c r="U5" s="2067"/>
      <c r="V5" s="2067"/>
      <c r="W5" s="2067"/>
      <c r="X5" s="2067"/>
      <c r="Y5" s="2068"/>
      <c r="Z5" s="1635"/>
      <c r="AA5" s="1630"/>
      <c r="AB5" s="1635"/>
    </row>
    <row r="6" spans="1:28" ht="15" customHeight="1">
      <c r="A6" s="1636"/>
      <c r="B6" s="2056" t="s">
        <v>3</v>
      </c>
      <c r="C6" s="2059"/>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56"/>
      <c r="C7" s="2059"/>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56"/>
      <c r="C8" s="2059"/>
      <c r="D8" s="1642"/>
      <c r="E8" s="1643" t="s">
        <v>4</v>
      </c>
      <c r="F8" s="2069" t="s">
        <v>5</v>
      </c>
      <c r="G8" s="2058"/>
      <c r="H8" s="2058"/>
      <c r="I8" s="2058"/>
      <c r="J8" s="2058"/>
      <c r="K8" s="2058"/>
      <c r="L8" s="2058"/>
      <c r="M8" s="2058"/>
      <c r="N8" s="1642"/>
      <c r="O8" s="1644" t="s">
        <v>4</v>
      </c>
      <c r="P8" s="2070" t="s">
        <v>6</v>
      </c>
      <c r="Q8" s="2071"/>
      <c r="R8" s="2071"/>
      <c r="S8" s="2071"/>
      <c r="T8" s="2071"/>
      <c r="U8" s="2071"/>
      <c r="V8" s="2071"/>
      <c r="W8" s="2071"/>
      <c r="X8" s="2071"/>
      <c r="Y8" s="1638"/>
      <c r="Z8" s="1639"/>
      <c r="AA8" s="1640"/>
      <c r="AB8" s="1640"/>
    </row>
    <row r="9" spans="1:28" ht="15" customHeight="1">
      <c r="A9" s="1636"/>
      <c r="B9" s="2056"/>
      <c r="C9" s="2059"/>
      <c r="D9" s="1642"/>
      <c r="E9" s="1645" t="s">
        <v>4</v>
      </c>
      <c r="F9" s="2069" t="s">
        <v>7</v>
      </c>
      <c r="G9" s="2058"/>
      <c r="H9" s="2058"/>
      <c r="I9" s="2058"/>
      <c r="J9" s="2058"/>
      <c r="K9" s="2058"/>
      <c r="L9" s="2058"/>
      <c r="M9" s="2058"/>
      <c r="N9" s="1642"/>
      <c r="O9" s="1646" t="s">
        <v>4</v>
      </c>
      <c r="P9" s="2070" t="s">
        <v>8</v>
      </c>
      <c r="Q9" s="2071"/>
      <c r="R9" s="2071"/>
      <c r="S9" s="2071"/>
      <c r="T9" s="2071"/>
      <c r="U9" s="2071"/>
      <c r="V9" s="2071"/>
      <c r="W9" s="2071"/>
      <c r="X9" s="2071"/>
      <c r="Y9" s="1638"/>
      <c r="Z9" s="1639"/>
      <c r="AA9" s="1640"/>
      <c r="AB9" s="1640"/>
    </row>
    <row r="10" spans="1:28" ht="30" customHeight="1">
      <c r="A10" s="1636"/>
      <c r="B10" s="2056"/>
      <c r="C10" s="2057"/>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55"/>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56"/>
      <c r="C12" s="2057"/>
      <c r="D12" s="1650"/>
      <c r="E12" s="2058" t="s">
        <v>10</v>
      </c>
      <c r="F12" s="2058"/>
      <c r="G12" s="2058"/>
      <c r="H12" s="2058"/>
      <c r="I12" s="2058"/>
      <c r="J12" s="2058"/>
      <c r="K12" s="2058"/>
      <c r="L12" s="2058"/>
      <c r="M12" s="2058"/>
      <c r="N12" s="2058"/>
      <c r="O12" s="2058"/>
      <c r="P12" s="2058"/>
      <c r="Q12" s="2058"/>
      <c r="R12" s="2058"/>
      <c r="S12" s="2058"/>
      <c r="T12" s="2058"/>
      <c r="U12" s="2058"/>
      <c r="V12" s="2058"/>
      <c r="W12" s="2058"/>
      <c r="X12" s="2058"/>
      <c r="Y12" s="1638"/>
      <c r="Z12" s="1639"/>
      <c r="AA12" s="1640"/>
      <c r="AB12" s="1640"/>
    </row>
    <row r="13" spans="1:28" ht="15" customHeight="1">
      <c r="A13" s="1636"/>
      <c r="B13" s="1" t="s">
        <v>11</v>
      </c>
      <c r="C13" s="2055"/>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56"/>
      <c r="C14" s="2059"/>
      <c r="D14" s="1642"/>
      <c r="E14" s="2062" t="s">
        <v>12</v>
      </c>
      <c r="F14" s="2062"/>
      <c r="G14" s="2062"/>
      <c r="H14" s="2062"/>
      <c r="I14" s="2062"/>
      <c r="J14" s="2062"/>
      <c r="K14" s="2062"/>
      <c r="L14" s="2062"/>
      <c r="M14" s="2062"/>
      <c r="N14" s="2062"/>
      <c r="O14" s="2062"/>
      <c r="P14" s="2062"/>
      <c r="Q14" s="2062"/>
      <c r="R14" s="2062"/>
      <c r="S14" s="2062"/>
      <c r="T14" s="2062"/>
      <c r="U14" s="2062"/>
      <c r="V14" s="2062"/>
      <c r="W14" s="2062"/>
      <c r="X14" s="2062"/>
      <c r="Y14" s="1638"/>
      <c r="Z14" s="1639"/>
      <c r="AA14" s="1640"/>
      <c r="AB14" s="1640"/>
    </row>
    <row r="15" spans="1:28" ht="16.5" customHeight="1">
      <c r="A15" s="1636"/>
      <c r="B15" s="2060"/>
      <c r="C15" s="2061"/>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62"/>
      <c r="C16" s="2063"/>
      <c r="D16" s="2063"/>
      <c r="E16" s="2063"/>
      <c r="F16" s="2063"/>
      <c r="G16" s="2063"/>
      <c r="H16" s="2063"/>
      <c r="I16" s="2063"/>
      <c r="J16" s="2063"/>
      <c r="K16" s="2063"/>
      <c r="L16" s="2063"/>
      <c r="M16" s="2063"/>
      <c r="N16" s="2063"/>
      <c r="O16" s="2063"/>
      <c r="P16" s="2063"/>
      <c r="Q16" s="2063"/>
      <c r="R16" s="2063"/>
      <c r="S16" s="2063"/>
      <c r="T16" s="2063"/>
      <c r="U16" s="2063"/>
      <c r="V16" s="2063"/>
      <c r="W16" s="2063"/>
      <c r="X16" s="2063"/>
      <c r="Y16" s="206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84" t="s">
        <v>390</v>
      </c>
      <c r="F4" s="2084"/>
      <c r="G4" s="2085"/>
      <c r="H4" s="2085"/>
      <c r="I4" s="2086"/>
      <c r="J4" s="428"/>
      <c r="K4" s="390"/>
      <c r="L4" s="390"/>
      <c r="W4" s="384">
        <v>22</v>
      </c>
    </row>
    <row r="5" spans="1:23" s="1562" customFormat="1" ht="18" customHeight="1">
      <c r="A5" s="694"/>
      <c r="D5" s="753"/>
      <c r="E5" s="2194" t="str">
        <f>IF(org=0,"Не определено",org)</f>
        <v>МУП "Михайловское водопроводно-канализационное хозяйство"</v>
      </c>
      <c r="F5" s="2194"/>
      <c r="G5" s="2195"/>
      <c r="H5" s="2195"/>
      <c r="I5" s="219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79" t="s">
        <v>302</v>
      </c>
      <c r="F7" s="2179"/>
      <c r="G7" s="2180"/>
      <c r="H7" s="2180"/>
      <c r="I7" s="2180"/>
      <c r="J7" s="2180"/>
      <c r="K7" s="2180"/>
      <c r="L7" s="2148" t="s">
        <v>303</v>
      </c>
      <c r="W7" s="384">
        <v>14</v>
      </c>
    </row>
    <row r="8" spans="1:23" ht="48.2" customHeight="1">
      <c r="D8" s="387"/>
      <c r="E8" s="410" t="s">
        <v>87</v>
      </c>
      <c r="F8" s="754"/>
      <c r="G8" s="402" t="s">
        <v>85</v>
      </c>
      <c r="H8" s="402" t="s">
        <v>86</v>
      </c>
      <c r="I8" s="351" t="s">
        <v>84</v>
      </c>
      <c r="J8" s="351" t="s">
        <v>391</v>
      </c>
      <c r="K8" s="351" t="s">
        <v>392</v>
      </c>
      <c r="L8" s="214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92" t="s">
        <v>393</v>
      </c>
      <c r="M10" s="444"/>
      <c r="N10" s="442"/>
      <c r="O10" s="442"/>
      <c r="P10" s="442"/>
      <c r="Q10" s="442"/>
      <c r="R10" s="442"/>
      <c r="S10" s="442"/>
      <c r="T10" s="442"/>
      <c r="U10" s="442"/>
      <c r="V10" s="442"/>
      <c r="W10" s="384">
        <v>0</v>
      </c>
    </row>
    <row r="11" spans="1:23" ht="15" hidden="1" customHeight="1">
      <c r="A11" s="2076"/>
      <c r="B11" s="441"/>
      <c r="C11" s="441"/>
      <c r="D11" s="796"/>
      <c r="E11" s="450"/>
      <c r="F11" s="450"/>
      <c r="G11" s="450"/>
      <c r="H11" s="450"/>
      <c r="I11" s="451"/>
      <c r="J11" s="452"/>
      <c r="K11" s="650"/>
      <c r="L11" s="2206"/>
      <c r="M11" s="448"/>
      <c r="N11" s="448"/>
      <c r="O11" s="448"/>
      <c r="P11" s="453"/>
      <c r="Q11" s="453"/>
      <c r="R11" s="454"/>
      <c r="S11" s="448"/>
      <c r="T11" s="448"/>
      <c r="U11" s="448"/>
      <c r="V11" s="448"/>
      <c r="W11" s="384">
        <v>0</v>
      </c>
    </row>
    <row r="12" spans="1:23" s="1539" customFormat="1" ht="15" customHeight="1">
      <c r="A12" s="2076"/>
      <c r="B12" s="441"/>
      <c r="C12" s="441"/>
      <c r="D12" s="797"/>
      <c r="E12" s="754">
        <v>1</v>
      </c>
      <c r="F12" s="795">
        <v>23</v>
      </c>
      <c r="G12" s="794"/>
      <c r="H12" s="724"/>
      <c r="I12" s="722"/>
      <c r="J12" s="457" t="s">
        <v>65</v>
      </c>
      <c r="K12" s="1091" t="s">
        <v>22</v>
      </c>
      <c r="L12" s="2206"/>
      <c r="M12" s="448"/>
      <c r="N12" s="448"/>
      <c r="O12" s="448"/>
      <c r="P12" s="453" t="s">
        <v>394</v>
      </c>
      <c r="Q12" s="453" t="s">
        <v>395</v>
      </c>
      <c r="R12" s="454" t="s">
        <v>396</v>
      </c>
      <c r="S12" s="448" t="s">
        <v>397</v>
      </c>
      <c r="T12" s="448"/>
      <c r="U12" s="448"/>
      <c r="V12" s="448"/>
      <c r="W12" s="417">
        <v>14</v>
      </c>
    </row>
    <row r="13" spans="1:23" ht="15.75" customHeight="1">
      <c r="A13" s="2076"/>
      <c r="B13" s="442"/>
      <c r="D13" s="443"/>
      <c r="E13" s="342"/>
      <c r="F13" s="466"/>
      <c r="G13" s="353" t="s">
        <v>101</v>
      </c>
      <c r="H13" s="341"/>
      <c r="I13" s="341"/>
      <c r="J13" s="341"/>
      <c r="K13" s="340"/>
      <c r="L13" s="219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19">
        <v>1</v>
      </c>
      <c r="F2" s="1290"/>
      <c r="G2" s="1290"/>
      <c r="H2" s="1290"/>
      <c r="I2" s="1290"/>
      <c r="J2" s="1290"/>
      <c r="K2" s="1290"/>
      <c r="L2" s="1291"/>
      <c r="M2" s="1292"/>
      <c r="N2" s="1292"/>
      <c r="O2" s="1292"/>
      <c r="P2" s="298"/>
      <c r="Q2" s="297"/>
      <c r="R2" s="292"/>
      <c r="S2" s="1236"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5" t="s">
        <v>398</v>
      </c>
      <c r="AO2" s="437"/>
      <c r="AP2" s="437" t="str">
        <f t="shared" ref="AP2:AP15" si="0">IF(T2="","",T2)</f>
        <v>Наименование тарифа</v>
      </c>
      <c r="AQ2" s="437"/>
      <c r="AR2" s="437"/>
      <c r="AS2" s="1082">
        <v>0</v>
      </c>
    </row>
    <row r="3" spans="1:45" ht="21" hidden="1" customHeight="1">
      <c r="A3" s="1290"/>
      <c r="B3" s="1290"/>
      <c r="C3" s="1290"/>
      <c r="D3" s="1290"/>
      <c r="E3" s="2220"/>
      <c r="F3" s="2219">
        <v>1</v>
      </c>
      <c r="G3" s="1290"/>
      <c r="H3" s="1290"/>
      <c r="I3" s="1290"/>
      <c r="J3" s="1290"/>
      <c r="K3" s="1290"/>
      <c r="L3" s="1291"/>
      <c r="M3" s="1292"/>
      <c r="N3" s="1292"/>
      <c r="O3" s="1292"/>
      <c r="P3" s="1231"/>
      <c r="Q3" s="289"/>
      <c r="R3" s="290"/>
      <c r="S3" s="1236"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5" t="s">
        <v>400</v>
      </c>
      <c r="AO3" s="437"/>
      <c r="AP3" s="437" t="str">
        <f t="shared" si="0"/>
        <v>Территория действия тарифа</v>
      </c>
      <c r="AQ3" s="437"/>
      <c r="AR3" s="437"/>
      <c r="AS3" s="1082">
        <v>0</v>
      </c>
    </row>
    <row r="4" spans="1:45" ht="23.25" hidden="1" customHeight="1">
      <c r="A4" s="1290"/>
      <c r="B4" s="1290"/>
      <c r="C4" s="1290"/>
      <c r="D4" s="1290"/>
      <c r="E4" s="2220"/>
      <c r="F4" s="2220"/>
      <c r="G4" s="2219">
        <v>1</v>
      </c>
      <c r="H4" s="1290"/>
      <c r="I4" s="1290"/>
      <c r="J4" s="1290"/>
      <c r="K4" s="1290"/>
      <c r="L4" s="1291"/>
      <c r="M4" s="1292"/>
      <c r="N4" s="1292"/>
      <c r="O4" s="1292"/>
      <c r="P4" s="291"/>
      <c r="Q4" s="289"/>
      <c r="R4" s="290"/>
      <c r="S4" s="1236"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0"/>
      <c r="F5" s="2220"/>
      <c r="G5" s="2220"/>
      <c r="H5" s="2219">
        <v>1</v>
      </c>
      <c r="I5" s="1290"/>
      <c r="J5" s="1290"/>
      <c r="K5" s="1290"/>
      <c r="L5" s="1291"/>
      <c r="M5" s="1292"/>
      <c r="N5" s="1292"/>
      <c r="O5" s="1292"/>
      <c r="P5" s="291"/>
      <c r="Q5" s="289"/>
      <c r="R5" s="290"/>
      <c r="S5" s="1236"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220"/>
      <c r="F6" s="2220"/>
      <c r="G6" s="2220"/>
      <c r="H6" s="2220"/>
      <c r="I6" s="2221" t="e">
        <f>S5&amp;".1"</f>
        <v>#N/A</v>
      </c>
      <c r="J6" s="1290"/>
      <c r="K6" s="1290"/>
      <c r="L6" s="1291" t="s">
        <v>405</v>
      </c>
      <c r="M6" s="474"/>
      <c r="P6" s="2223">
        <v>1</v>
      </c>
      <c r="Q6" s="1232"/>
      <c r="R6" s="293"/>
      <c r="S6" s="1236" t="e">
        <f>$I6</f>
        <v>#N/A</v>
      </c>
      <c r="T6" s="222" t="s">
        <v>406</v>
      </c>
      <c r="U6" s="237"/>
      <c r="V6" s="2207"/>
      <c r="W6" s="2208"/>
      <c r="X6" s="2208"/>
      <c r="Y6" s="2208"/>
      <c r="Z6" s="2208"/>
      <c r="AA6" s="2208"/>
      <c r="AB6" s="2208"/>
      <c r="AC6" s="2209"/>
      <c r="AD6" s="2207"/>
      <c r="AE6" s="2208"/>
      <c r="AF6" s="2208"/>
      <c r="AG6" s="2208"/>
      <c r="AH6" s="2208"/>
      <c r="AI6" s="2208"/>
      <c r="AJ6" s="2208"/>
      <c r="AK6" s="2208"/>
      <c r="AL6" s="2209"/>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0"/>
      <c r="F7" s="2220"/>
      <c r="G7" s="2220"/>
      <c r="H7" s="2220"/>
      <c r="I7" s="2222"/>
      <c r="J7" s="2221" t="e">
        <f>I6&amp;".1"</f>
        <v>#N/A</v>
      </c>
      <c r="K7" s="1290"/>
      <c r="L7" s="1291" t="s">
        <v>408</v>
      </c>
      <c r="M7" s="474"/>
      <c r="N7" s="1293"/>
      <c r="P7" s="2223"/>
      <c r="Q7" s="2223">
        <v>1</v>
      </c>
      <c r="R7" s="294"/>
      <c r="S7" s="1236" t="e">
        <f>$J7</f>
        <v>#N/A</v>
      </c>
      <c r="T7" s="223" t="s">
        <v>409</v>
      </c>
      <c r="U7" s="237"/>
      <c r="V7" s="2207"/>
      <c r="W7" s="2208"/>
      <c r="X7" s="2208"/>
      <c r="Y7" s="2208"/>
      <c r="Z7" s="2208"/>
      <c r="AA7" s="2208"/>
      <c r="AB7" s="2208"/>
      <c r="AC7" s="2209"/>
      <c r="AD7" s="2207"/>
      <c r="AE7" s="2208"/>
      <c r="AF7" s="2208"/>
      <c r="AG7" s="2208"/>
      <c r="AH7" s="2208"/>
      <c r="AI7" s="2208"/>
      <c r="AJ7" s="2208"/>
      <c r="AK7" s="2208"/>
      <c r="AL7" s="2209"/>
      <c r="AM7" s="1185" t="s">
        <v>410</v>
      </c>
      <c r="AO7" s="437"/>
      <c r="AP7" s="437" t="str">
        <f t="shared" si="0"/>
        <v>Группа потребителей</v>
      </c>
      <c r="AQ7" s="437"/>
      <c r="AR7" s="437"/>
      <c r="AS7" s="1082">
        <v>0</v>
      </c>
    </row>
    <row r="8" spans="1:45" ht="21" hidden="1" customHeight="1">
      <c r="A8" s="1290"/>
      <c r="B8" s="1290"/>
      <c r="C8" s="1290"/>
      <c r="D8" s="1290"/>
      <c r="E8" s="2220"/>
      <c r="F8" s="2220"/>
      <c r="G8" s="2220"/>
      <c r="H8" s="2220"/>
      <c r="I8" s="2222"/>
      <c r="J8" s="2222"/>
      <c r="K8" s="2221" t="e">
        <f>J7&amp;".1"</f>
        <v>#N/A</v>
      </c>
      <c r="L8" s="1291" t="s">
        <v>411</v>
      </c>
      <c r="M8" s="474"/>
      <c r="N8" s="1293"/>
      <c r="O8" s="1293"/>
      <c r="P8" s="2223"/>
      <c r="Q8" s="2223"/>
      <c r="R8" s="294">
        <v>1</v>
      </c>
      <c r="S8" s="1236" t="e">
        <f>$K8</f>
        <v>#N/A</v>
      </c>
      <c r="T8" s="1274"/>
      <c r="U8" s="237"/>
      <c r="V8" s="688"/>
      <c r="W8" s="262"/>
      <c r="X8" s="688"/>
      <c r="Y8" s="1184"/>
      <c r="Z8" s="2224"/>
      <c r="AA8" s="2102" t="s">
        <v>65</v>
      </c>
      <c r="AB8" s="2224"/>
      <c r="AC8" s="2102" t="s">
        <v>65</v>
      </c>
      <c r="AD8" s="688"/>
      <c r="AE8" s="262"/>
      <c r="AF8" s="688"/>
      <c r="AG8" s="1184"/>
      <c r="AH8" s="2224"/>
      <c r="AI8" s="2102" t="s">
        <v>65</v>
      </c>
      <c r="AJ8" s="2224"/>
      <c r="AK8" s="2102" t="s">
        <v>65</v>
      </c>
      <c r="AL8" s="262"/>
      <c r="AM8" s="2242" t="s">
        <v>412</v>
      </c>
      <c r="AN8" s="448" t="e">
        <f ca="1">STRCHECKDATE(V9:AL9)</f>
        <v>#NAME?</v>
      </c>
      <c r="AO8" s="437"/>
      <c r="AP8" s="437" t="str">
        <f t="shared" si="0"/>
        <v/>
      </c>
      <c r="AQ8" s="437"/>
      <c r="AR8" s="437"/>
      <c r="AS8" s="1082">
        <v>0</v>
      </c>
    </row>
    <row r="9" spans="1:45" ht="0.75" hidden="1" customHeight="1">
      <c r="A9" s="1290"/>
      <c r="B9" s="1290"/>
      <c r="C9" s="1290"/>
      <c r="D9" s="1290"/>
      <c r="E9" s="2220"/>
      <c r="F9" s="2220"/>
      <c r="G9" s="2220"/>
      <c r="H9" s="2220"/>
      <c r="I9" s="2222"/>
      <c r="J9" s="2222"/>
      <c r="K9" s="2221"/>
      <c r="L9" s="1291"/>
      <c r="M9" s="474"/>
      <c r="N9" s="1293"/>
      <c r="O9" s="1293"/>
      <c r="P9" s="2223"/>
      <c r="Q9" s="2223"/>
      <c r="R9" s="294"/>
      <c r="S9" s="1233"/>
      <c r="T9" s="237"/>
      <c r="U9" s="237"/>
      <c r="V9" s="262"/>
      <c r="W9" s="262"/>
      <c r="X9" s="262"/>
      <c r="Y9" s="265" t="str">
        <f>Z8&amp;"-"&amp;AB8</f>
        <v>-</v>
      </c>
      <c r="Z9" s="2225"/>
      <c r="AA9" s="2102"/>
      <c r="AB9" s="2225"/>
      <c r="AC9" s="2102"/>
      <c r="AD9" s="262"/>
      <c r="AE9" s="262"/>
      <c r="AF9" s="262"/>
      <c r="AG9" s="265" t="str">
        <f>AH8&amp;"-"&amp;AJ8</f>
        <v>-</v>
      </c>
      <c r="AH9" s="2225"/>
      <c r="AI9" s="2102"/>
      <c r="AJ9" s="2225"/>
      <c r="AK9" s="2102"/>
      <c r="AL9" s="262"/>
      <c r="AM9" s="2243"/>
      <c r="AO9" s="437"/>
      <c r="AP9" s="437" t="str">
        <f t="shared" si="0"/>
        <v/>
      </c>
      <c r="AQ9" s="437"/>
      <c r="AR9" s="437"/>
      <c r="AS9" s="1082">
        <v>0</v>
      </c>
    </row>
    <row r="10" spans="1:45" ht="15" hidden="1" customHeight="1">
      <c r="A10" s="1290"/>
      <c r="B10" s="1290"/>
      <c r="C10" s="1290"/>
      <c r="D10" s="1290"/>
      <c r="E10" s="2220"/>
      <c r="F10" s="2220"/>
      <c r="G10" s="2220"/>
      <c r="H10" s="2220"/>
      <c r="I10" s="2222"/>
      <c r="J10" s="2221"/>
      <c r="K10" s="1290"/>
      <c r="L10" s="1291"/>
      <c r="M10" s="474"/>
      <c r="N10" s="1293"/>
      <c r="P10" s="2223"/>
      <c r="Q10" s="2223"/>
      <c r="R10" s="293"/>
      <c r="S10" s="1205"/>
      <c r="T10" s="225" t="s">
        <v>413</v>
      </c>
      <c r="U10" s="304"/>
      <c r="V10" s="304"/>
      <c r="W10" s="304"/>
      <c r="X10" s="304"/>
      <c r="Y10" s="304"/>
      <c r="Z10" s="304"/>
      <c r="AA10" s="304"/>
      <c r="AB10" s="304"/>
      <c r="AC10" s="304"/>
      <c r="AD10" s="304"/>
      <c r="AE10" s="304"/>
      <c r="AF10" s="304"/>
      <c r="AG10" s="304"/>
      <c r="AH10" s="304"/>
      <c r="AI10" s="304"/>
      <c r="AJ10" s="304"/>
      <c r="AK10" s="304"/>
      <c r="AL10" s="261"/>
      <c r="AM10" s="224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0"/>
      <c r="F11" s="2220"/>
      <c r="G11" s="2220"/>
      <c r="H11" s="2220"/>
      <c r="I11" s="2221"/>
      <c r="J11" s="1290"/>
      <c r="K11" s="1290"/>
      <c r="L11" s="1291"/>
      <c r="M11" s="474"/>
      <c r="P11" s="2223"/>
      <c r="Q11" s="1232"/>
      <c r="R11" s="293"/>
      <c r="S11" s="1205"/>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0"/>
      <c r="F12" s="2220"/>
      <c r="G12" s="2220"/>
      <c r="H12" s="2219"/>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20"/>
      <c r="F13" s="2220"/>
      <c r="G13" s="2219"/>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0"/>
      <c r="F14" s="2219"/>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9"/>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17"/>
      <c r="AI17" s="2216" t="s">
        <v>65</v>
      </c>
      <c r="AJ17" s="2217"/>
      <c r="AK17" s="2216" t="s">
        <v>65</v>
      </c>
      <c r="AS17" s="1082">
        <v>0</v>
      </c>
    </row>
    <row r="18" spans="1:45" ht="14.25" hidden="1" customHeight="1">
      <c r="P18" s="1238"/>
      <c r="AD18" s="1287"/>
      <c r="AE18" s="1287"/>
      <c r="AF18" s="1287"/>
      <c r="AG18" s="265" t="str">
        <f>AH17&amp;"-"&amp;AJ17</f>
        <v>-</v>
      </c>
      <c r="AH18" s="2216"/>
      <c r="AI18" s="2216"/>
      <c r="AJ18" s="2216"/>
      <c r="AK18" s="2216"/>
      <c r="AS18" s="1082">
        <v>0</v>
      </c>
    </row>
    <row r="19" spans="1:45" ht="14.25" hidden="1" customHeight="1">
      <c r="P19" s="1238"/>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0"/>
      <c r="U26" s="2200"/>
      <c r="V26" s="2200"/>
      <c r="W26" s="2200"/>
      <c r="X26" s="2200"/>
      <c r="Y26" s="2200"/>
      <c r="Z26" s="2200"/>
      <c r="AA26" s="2200"/>
      <c r="AB26" s="2200"/>
      <c r="AC26" s="2200"/>
      <c r="AD26" s="2200"/>
      <c r="AE26" s="2200"/>
      <c r="AF26" s="2200"/>
      <c r="AG26" s="2200"/>
      <c r="AH26" s="2200"/>
      <c r="AI26" s="2200"/>
      <c r="AJ26" s="2200"/>
      <c r="AK26" s="1170"/>
      <c r="AS26" s="1082">
        <v>14</v>
      </c>
    </row>
    <row r="27" spans="1:45" ht="14.65" customHeight="1">
      <c r="Q27" s="313"/>
      <c r="R27" s="313"/>
      <c r="S27" s="2172" t="str">
        <f>IF(org=0,"Не определено",org)</f>
        <v>МУП "Михайловское водопроводно-канализационное хозяйство"</v>
      </c>
      <c r="T27" s="2172"/>
      <c r="U27" s="2172"/>
      <c r="V27" s="2172"/>
      <c r="W27" s="2172"/>
      <c r="X27" s="2172"/>
      <c r="Y27" s="2172"/>
      <c r="Z27" s="2172"/>
      <c r="AA27" s="2172"/>
      <c r="AB27" s="2172"/>
      <c r="AC27" s="2172"/>
      <c r="AD27" s="2172"/>
      <c r="AE27" s="2172"/>
      <c r="AF27" s="2172"/>
      <c r="AG27" s="2172"/>
      <c r="AH27" s="2172"/>
      <c r="AI27" s="2172"/>
      <c r="AJ27" s="217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10" t="s">
        <v>42</v>
      </c>
      <c r="T29" s="2210"/>
      <c r="U29" s="1299"/>
      <c r="V29" s="2212" t="str">
        <f>IF(TITLE_NAME_OR_PR_CHANGE="",IF(TITLE_NAME_OR_PR="","",TITLE_NAME_OR_PR),TITLE_NAME_OR_PR_CHANGE)</f>
        <v/>
      </c>
      <c r="W29" s="2212"/>
      <c r="X29" s="2212"/>
      <c r="Y29" s="2212"/>
      <c r="Z29" s="2212"/>
      <c r="AA29" s="2212"/>
      <c r="AB29" s="2212"/>
      <c r="AC29" s="263"/>
      <c r="AD29" s="2212" t="str">
        <f>IF(TITLE_NAME_OR_PR_CHANGE="",IF(TITLE_NAME_OR_PR="","",TITLE_NAME_OR_PR),TITLE_NAME_OR_PR_CHANGE)</f>
        <v/>
      </c>
      <c r="AE29" s="2212"/>
      <c r="AF29" s="2212"/>
      <c r="AG29" s="2212"/>
      <c r="AH29" s="2212"/>
      <c r="AI29" s="2212"/>
      <c r="AJ29" s="221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10" t="s">
        <v>425</v>
      </c>
      <c r="T30" s="2210"/>
      <c r="U30" s="1299"/>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10" t="s">
        <v>426</v>
      </c>
      <c r="T31" s="2210"/>
      <c r="U31" s="1299"/>
      <c r="V31" s="2212" t="str">
        <f>IF(TITLE_NUMBER_PR_CHANGE="",IF(TITLE_NUMBER_PR="","",TITLE_NUMBER_PR),TITLE_NUMBER_PR_CHANGE)</f>
        <v/>
      </c>
      <c r="W31" s="2212"/>
      <c r="X31" s="2212"/>
      <c r="Y31" s="2212"/>
      <c r="Z31" s="2212"/>
      <c r="AA31" s="2212"/>
      <c r="AB31" s="2212"/>
      <c r="AC31" s="263"/>
      <c r="AD31" s="2212" t="str">
        <f>IF(TITLE_NUMBER_PR_CHANGE="",IF(TITLE_NUMBER_PR="","",TITLE_NUMBER_PR),TITLE_NUMBER_PR_CHANGE)</f>
        <v/>
      </c>
      <c r="AE31" s="2212"/>
      <c r="AF31" s="2212"/>
      <c r="AG31" s="2212"/>
      <c r="AH31" s="2212"/>
      <c r="AI31" s="2212"/>
      <c r="AJ31" s="221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10" t="s">
        <v>43</v>
      </c>
      <c r="T32" s="2210"/>
      <c r="U32" s="1299"/>
      <c r="V32" s="2212" t="str">
        <f>IF(TITLE_IST_PUB_CHANGE="",IF(TITLE_IST_PUB="","",TITLE_IST_PUB),TITLE_IST_PUB_CHANGE)</f>
        <v/>
      </c>
      <c r="W32" s="2212"/>
      <c r="X32" s="2212"/>
      <c r="Y32" s="2212"/>
      <c r="Z32" s="2212"/>
      <c r="AA32" s="2212"/>
      <c r="AB32" s="2212"/>
      <c r="AC32" s="263"/>
      <c r="AD32" s="2212" t="str">
        <f>IF(TITLE_IST_PUB_CHANGE="",IF(TITLE_IST_PUB="","",TITLE_IST_PUB),TITLE_IST_PUB_CHANGE)</f>
        <v/>
      </c>
      <c r="AE32" s="2212"/>
      <c r="AF32" s="2212"/>
      <c r="AG32" s="2212"/>
      <c r="AH32" s="2212"/>
      <c r="AI32" s="2212"/>
      <c r="AJ32" s="2212"/>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10" t="s">
        <v>427</v>
      </c>
      <c r="T34" s="2210"/>
      <c r="U34" s="1299"/>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10" t="s">
        <v>428</v>
      </c>
      <c r="T35" s="2210"/>
      <c r="U35" s="1299"/>
      <c r="V35" s="2212" t="str">
        <f>IF(TITLE_NUMBER_PR_CHANGE="",IF(TITLE_NUMBER_PR="","",TITLE_NUMBER_PR),TITLE_NUMBER_PR_CHANGE)</f>
        <v/>
      </c>
      <c r="W35" s="2212"/>
      <c r="X35" s="2212"/>
      <c r="Y35" s="2212"/>
      <c r="Z35" s="2212"/>
      <c r="AA35" s="2212"/>
      <c r="AB35" s="2212"/>
      <c r="AC35" s="263"/>
      <c r="AD35" s="2212" t="str">
        <f>IF(TITLE_NUMBER_PR_CHANGE="",IF(TITLE_NUMBER_PR="","",TITLE_NUMBER_PR),TITLE_NUMBER_PR_CHANGE)</f>
        <v/>
      </c>
      <c r="AE35" s="2212"/>
      <c r="AF35" s="2212"/>
      <c r="AG35" s="2212"/>
      <c r="AH35" s="2212"/>
      <c r="AI35" s="2212"/>
      <c r="AJ35" s="221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231"/>
      <c r="W37" s="2231"/>
      <c r="X37" s="2231"/>
      <c r="Y37" s="2231"/>
      <c r="Z37" s="2231"/>
      <c r="AA37" s="2231"/>
      <c r="AB37" s="2231"/>
      <c r="AC37" s="2231"/>
      <c r="AD37" s="2231"/>
      <c r="AE37" s="2231"/>
      <c r="AF37" s="2231"/>
      <c r="AG37" s="2231"/>
      <c r="AH37" s="2231"/>
      <c r="AI37" s="2231"/>
      <c r="AJ37" s="2231"/>
      <c r="AK37" s="2231"/>
      <c r="AS37" s="1082">
        <v>14</v>
      </c>
    </row>
    <row r="38" spans="1:45" ht="14.65" customHeight="1">
      <c r="Q38" s="313"/>
      <c r="R38" s="313"/>
      <c r="S38" s="2091" t="s">
        <v>302</v>
      </c>
      <c r="T38" s="2091"/>
      <c r="U38" s="2091"/>
      <c r="V38" s="2091"/>
      <c r="W38" s="2091"/>
      <c r="X38" s="2091"/>
      <c r="Y38" s="2091"/>
      <c r="Z38" s="2091"/>
      <c r="AA38" s="2091"/>
      <c r="AB38" s="2091"/>
      <c r="AC38" s="2091"/>
      <c r="AD38" s="2091"/>
      <c r="AE38" s="2091"/>
      <c r="AF38" s="2091"/>
      <c r="AG38" s="2091"/>
      <c r="AH38" s="2091"/>
      <c r="AI38" s="2091"/>
      <c r="AJ38" s="2091"/>
      <c r="AK38" s="2091"/>
      <c r="AL38" s="2091"/>
      <c r="AM38" s="2091" t="s">
        <v>303</v>
      </c>
      <c r="AS38" s="1082">
        <v>14</v>
      </c>
    </row>
    <row r="39" spans="1:45" ht="14.65" customHeight="1">
      <c r="Q39" s="313"/>
      <c r="R39" s="313"/>
      <c r="S39" s="2232" t="s">
        <v>87</v>
      </c>
      <c r="T39" s="2180" t="s">
        <v>430</v>
      </c>
      <c r="U39" s="238"/>
      <c r="V39" s="2233" t="s">
        <v>431</v>
      </c>
      <c r="W39" s="2234"/>
      <c r="X39" s="2234"/>
      <c r="Y39" s="2234"/>
      <c r="Z39" s="2234"/>
      <c r="AA39" s="2234"/>
      <c r="AB39" s="2235"/>
      <c r="AC39" s="2236" t="s">
        <v>432</v>
      </c>
      <c r="AD39" s="2233" t="s">
        <v>431</v>
      </c>
      <c r="AE39" s="2234"/>
      <c r="AF39" s="2234"/>
      <c r="AG39" s="2234"/>
      <c r="AH39" s="2234"/>
      <c r="AI39" s="2234"/>
      <c r="AJ39" s="2235"/>
      <c r="AK39" s="2236" t="s">
        <v>433</v>
      </c>
      <c r="AL39" s="2239" t="s">
        <v>434</v>
      </c>
      <c r="AM39" s="2091"/>
      <c r="AS39" s="1082">
        <v>14</v>
      </c>
    </row>
    <row r="40" spans="1:45" ht="35.65" customHeight="1">
      <c r="Q40" s="313"/>
      <c r="R40" s="313"/>
      <c r="S40" s="2232"/>
      <c r="T40" s="2180"/>
      <c r="U40" s="961"/>
      <c r="V40" s="2150" t="s">
        <v>435</v>
      </c>
      <c r="W40" s="2228" t="s">
        <v>436</v>
      </c>
      <c r="X40" s="2073" t="s">
        <v>437</v>
      </c>
      <c r="Y40" s="2072"/>
      <c r="Z40" s="2073" t="s">
        <v>438</v>
      </c>
      <c r="AA40" s="2078"/>
      <c r="AB40" s="2072"/>
      <c r="AC40" s="2237"/>
      <c r="AD40" s="2150" t="s">
        <v>435</v>
      </c>
      <c r="AE40" s="2228" t="s">
        <v>436</v>
      </c>
      <c r="AF40" s="2073" t="s">
        <v>437</v>
      </c>
      <c r="AG40" s="2072"/>
      <c r="AH40" s="2073" t="s">
        <v>438</v>
      </c>
      <c r="AI40" s="2078"/>
      <c r="AJ40" s="2072"/>
      <c r="AK40" s="2237"/>
      <c r="AL40" s="2240"/>
      <c r="AM40" s="2091"/>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2"/>
      <c r="T41" s="2180"/>
      <c r="U41" s="239"/>
      <c r="V41" s="2205"/>
      <c r="W41" s="2229"/>
      <c r="X41" s="1149" t="s">
        <v>446</v>
      </c>
      <c r="Y41" s="1149" t="s">
        <v>447</v>
      </c>
      <c r="Z41" s="1148" t="s">
        <v>448</v>
      </c>
      <c r="AA41" s="2185" t="s">
        <v>449</v>
      </c>
      <c r="AB41" s="2199"/>
      <c r="AC41" s="2238"/>
      <c r="AD41" s="2205"/>
      <c r="AE41" s="2229"/>
      <c r="AF41" s="1149" t="s">
        <v>446</v>
      </c>
      <c r="AG41" s="1149" t="s">
        <v>447</v>
      </c>
      <c r="AH41" s="1240" t="s">
        <v>448</v>
      </c>
      <c r="AI41" s="2185" t="s">
        <v>449</v>
      </c>
      <c r="AJ41" s="2199"/>
      <c r="AK41" s="2238"/>
      <c r="AL41" s="2241"/>
      <c r="AM41" s="209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30">
        <f ca="1">OFFSET(AA42,0,-1)+1</f>
        <v>4</v>
      </c>
      <c r="AB42" s="2230"/>
      <c r="AC42" s="1183">
        <f ca="1">OFFSET(AC42,0,-2)+1</f>
        <v>5</v>
      </c>
      <c r="AD42" s="1239">
        <f ca="1">OFFSET(AD42,0,-1)+1</f>
        <v>6</v>
      </c>
      <c r="AE42" s="1239"/>
      <c r="AF42" s="1239">
        <f ca="1">OFFSET(AF42,0,-1)+1</f>
        <v>1</v>
      </c>
      <c r="AG42" s="1239">
        <f ca="1">OFFSET(AG42,0,-1)+1</f>
        <v>2</v>
      </c>
      <c r="AH42" s="1239">
        <f ca="1">OFFSET(AH42,0,-1)+1</f>
        <v>3</v>
      </c>
      <c r="AI42" s="2230">
        <f ca="1">OFFSET(AI42,0,-1)+1</f>
        <v>4</v>
      </c>
      <c r="AJ42" s="2230"/>
      <c r="AK42" s="1239">
        <f ca="1">OFFSET(AK42,0,-2)+1</f>
        <v>5</v>
      </c>
      <c r="AL42" s="1172">
        <f ca="1">OFFSET(AL42,0,-1)</f>
        <v>5</v>
      </c>
      <c r="AM42" s="1183">
        <f ca="1">OFFSET(AM42,0,-1)+1</f>
        <v>6</v>
      </c>
      <c r="AN42" s="448"/>
      <c r="AO42" s="448"/>
      <c r="AP42" s="448"/>
      <c r="AQ42" s="448"/>
      <c r="AR42" s="448"/>
      <c r="AS42" s="433">
        <v>0</v>
      </c>
    </row>
    <row r="43" spans="1:45" ht="24" customHeight="1">
      <c r="A43" s="1290" t="s">
        <v>160</v>
      </c>
      <c r="B43" s="1290"/>
      <c r="C43" s="1290"/>
      <c r="D43" s="1290"/>
      <c r="E43" s="2219">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160</v>
      </c>
      <c r="B44" s="1290" t="s">
        <v>161</v>
      </c>
      <c r="C44" s="1290"/>
      <c r="D44" s="1290"/>
      <c r="E44" s="2220"/>
      <c r="F44" s="2219">
        <v>1</v>
      </c>
      <c r="G44" s="1290"/>
      <c r="H44" s="1290"/>
      <c r="I44" s="1290"/>
      <c r="J44" s="1290"/>
      <c r="K44" s="1290"/>
      <c r="L44" s="1291"/>
      <c r="M44" s="1292"/>
      <c r="N44" s="1292"/>
      <c r="O44" s="1292"/>
      <c r="P44" s="459"/>
      <c r="Q44" s="289"/>
      <c r="R44" s="290"/>
      <c r="S44" s="1151"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5" t="s">
        <v>400</v>
      </c>
      <c r="AO44" s="437"/>
      <c r="AP44" s="437" t="str">
        <f t="shared" si="1"/>
        <v>Территория действия тарифа</v>
      </c>
      <c r="AQ44" s="437"/>
      <c r="AR44" s="437"/>
      <c r="AS44" s="1082">
        <v>23</v>
      </c>
    </row>
    <row r="45" spans="1:45" ht="24" customHeight="1">
      <c r="A45" s="1290" t="s">
        <v>160</v>
      </c>
      <c r="B45" s="1290" t="s">
        <v>161</v>
      </c>
      <c r="C45" s="1290" t="s">
        <v>162</v>
      </c>
      <c r="D45" s="1290"/>
      <c r="E45" s="2220"/>
      <c r="F45" s="2220"/>
      <c r="G45" s="2219">
        <v>1</v>
      </c>
      <c r="H45" s="1290"/>
      <c r="I45" s="1290"/>
      <c r="J45" s="1290"/>
      <c r="K45" s="1290"/>
      <c r="L45" s="1291"/>
      <c r="M45" s="1292"/>
      <c r="N45" s="1292"/>
      <c r="O45" s="1292"/>
      <c r="P45" s="291"/>
      <c r="Q45" s="289"/>
      <c r="R45" s="290"/>
      <c r="S45" s="1151"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5" t="s">
        <v>402</v>
      </c>
      <c r="AO45" s="437"/>
      <c r="AP45" s="437" t="str">
        <f t="shared" si="1"/>
        <v xml:space="preserve">Наименование системы теплоснабжения </v>
      </c>
      <c r="AQ45" s="437"/>
      <c r="AR45" s="437"/>
      <c r="AS45" s="1082">
        <v>23</v>
      </c>
    </row>
    <row r="46" spans="1:45" ht="24" customHeight="1">
      <c r="A46" s="1290" t="s">
        <v>160</v>
      </c>
      <c r="B46" s="1290" t="s">
        <v>161</v>
      </c>
      <c r="C46" s="1290" t="s">
        <v>162</v>
      </c>
      <c r="D46" s="1290" t="s">
        <v>163</v>
      </c>
      <c r="E46" s="2220"/>
      <c r="F46" s="2220"/>
      <c r="G46" s="2220"/>
      <c r="H46" s="2219">
        <v>1</v>
      </c>
      <c r="I46" s="1290"/>
      <c r="J46" s="1290"/>
      <c r="K46" s="1290"/>
      <c r="L46" s="1291"/>
      <c r="M46" s="1292"/>
      <c r="N46" s="1292"/>
      <c r="O46" s="1292"/>
      <c r="P46" s="291"/>
      <c r="Q46" s="289"/>
      <c r="R46" s="290"/>
      <c r="S46" s="1151"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5" t="s">
        <v>404</v>
      </c>
      <c r="AO46" s="437"/>
      <c r="AP46" s="437" t="str">
        <f t="shared" si="1"/>
        <v xml:space="preserve">Источник тепловой энергии  </v>
      </c>
      <c r="AQ46" s="437"/>
      <c r="AR46" s="437"/>
      <c r="AS46" s="1082">
        <v>23</v>
      </c>
    </row>
    <row r="47" spans="1:45" ht="49.5" customHeight="1">
      <c r="A47" s="1290" t="s">
        <v>160</v>
      </c>
      <c r="B47" s="1290" t="s">
        <v>161</v>
      </c>
      <c r="C47" s="1290" t="s">
        <v>162</v>
      </c>
      <c r="D47" s="1290" t="s">
        <v>163</v>
      </c>
      <c r="E47" s="2220"/>
      <c r="F47" s="2220"/>
      <c r="G47" s="2220"/>
      <c r="H47" s="2220"/>
      <c r="I47" s="2221" t="str">
        <f>S46&amp;".1"</f>
        <v>....1</v>
      </c>
      <c r="J47" s="1290"/>
      <c r="K47" s="1290"/>
      <c r="L47" s="1291" t="s">
        <v>405</v>
      </c>
      <c r="P47" s="2223">
        <v>1</v>
      </c>
      <c r="Q47" s="1147"/>
      <c r="R47" s="293"/>
      <c r="S47" s="1151" t="str">
        <f>$I47</f>
        <v>....1</v>
      </c>
      <c r="T47" s="222" t="s">
        <v>406</v>
      </c>
      <c r="U47" s="237"/>
      <c r="V47" s="2207"/>
      <c r="W47" s="2208"/>
      <c r="X47" s="2208"/>
      <c r="Y47" s="2208"/>
      <c r="Z47" s="2208"/>
      <c r="AA47" s="2208"/>
      <c r="AB47" s="2208"/>
      <c r="AC47" s="2209"/>
      <c r="AD47" s="2207"/>
      <c r="AE47" s="2208"/>
      <c r="AF47" s="2208"/>
      <c r="AG47" s="2208"/>
      <c r="AH47" s="2208"/>
      <c r="AI47" s="2208"/>
      <c r="AJ47" s="2208"/>
      <c r="AK47" s="2208"/>
      <c r="AL47" s="2209"/>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160</v>
      </c>
      <c r="B48" s="1290" t="s">
        <v>161</v>
      </c>
      <c r="C48" s="1290" t="s">
        <v>162</v>
      </c>
      <c r="D48" s="1290" t="s">
        <v>163</v>
      </c>
      <c r="E48" s="2220"/>
      <c r="F48" s="2220"/>
      <c r="G48" s="2220"/>
      <c r="H48" s="2220"/>
      <c r="I48" s="2222"/>
      <c r="J48" s="2221" t="str">
        <f>I47&amp;".1"</f>
        <v>....1.1</v>
      </c>
      <c r="K48" s="1290"/>
      <c r="L48" s="1291" t="s">
        <v>408</v>
      </c>
      <c r="P48" s="2223"/>
      <c r="Q48" s="2223">
        <v>1</v>
      </c>
      <c r="R48" s="294"/>
      <c r="S48" s="1151" t="str">
        <f>$J48</f>
        <v>....1.1</v>
      </c>
      <c r="T48" s="223" t="s">
        <v>409</v>
      </c>
      <c r="U48" s="237"/>
      <c r="V48" s="2207"/>
      <c r="W48" s="2208"/>
      <c r="X48" s="2208"/>
      <c r="Y48" s="2208"/>
      <c r="Z48" s="2208"/>
      <c r="AA48" s="2208"/>
      <c r="AB48" s="2208"/>
      <c r="AC48" s="2209"/>
      <c r="AD48" s="2207"/>
      <c r="AE48" s="2208"/>
      <c r="AF48" s="2208"/>
      <c r="AG48" s="2208"/>
      <c r="AH48" s="2208"/>
      <c r="AI48" s="2208"/>
      <c r="AJ48" s="2208"/>
      <c r="AK48" s="2208"/>
      <c r="AL48" s="2209"/>
      <c r="AM48" s="1185" t="s">
        <v>410</v>
      </c>
      <c r="AO48" s="437"/>
      <c r="AP48" s="437" t="str">
        <f t="shared" si="1"/>
        <v>Группа потребителей</v>
      </c>
      <c r="AQ48" s="437"/>
      <c r="AR48" s="437"/>
      <c r="AS48" s="1082">
        <v>23</v>
      </c>
    </row>
    <row r="49" spans="1:45" ht="24" customHeight="1">
      <c r="A49" s="1290" t="s">
        <v>160</v>
      </c>
      <c r="B49" s="1290" t="s">
        <v>161</v>
      </c>
      <c r="C49" s="1290" t="s">
        <v>162</v>
      </c>
      <c r="D49" s="1290" t="s">
        <v>163</v>
      </c>
      <c r="E49" s="2220"/>
      <c r="F49" s="2220"/>
      <c r="G49" s="2220"/>
      <c r="H49" s="2220"/>
      <c r="I49" s="2222"/>
      <c r="J49" s="2222"/>
      <c r="K49" s="2221" t="str">
        <f>J48&amp;".1"</f>
        <v>....1.1.1</v>
      </c>
      <c r="L49" s="1291" t="s">
        <v>411</v>
      </c>
      <c r="P49" s="2223"/>
      <c r="Q49" s="2223"/>
      <c r="R49" s="294">
        <v>1</v>
      </c>
      <c r="S49" s="1151" t="str">
        <f>$K49</f>
        <v>....1.1.1</v>
      </c>
      <c r="T49" s="1274"/>
      <c r="U49" s="237"/>
      <c r="V49" s="688"/>
      <c r="W49" s="262"/>
      <c r="X49" s="688"/>
      <c r="Y49" s="1184"/>
      <c r="Z49" s="2224"/>
      <c r="AA49" s="2102" t="s">
        <v>65</v>
      </c>
      <c r="AB49" s="2224"/>
      <c r="AC49" s="2102" t="s">
        <v>65</v>
      </c>
      <c r="AD49" s="688"/>
      <c r="AE49" s="262"/>
      <c r="AF49" s="688"/>
      <c r="AG49" s="1184"/>
      <c r="AH49" s="2224"/>
      <c r="AI49" s="2102" t="s">
        <v>65</v>
      </c>
      <c r="AJ49" s="2226"/>
      <c r="AK49" s="2102" t="s">
        <v>65</v>
      </c>
      <c r="AL49" s="1275"/>
      <c r="AM49" s="2242" t="s">
        <v>412</v>
      </c>
      <c r="AN49" s="448" t="e">
        <f ca="1">STRCHECKDATE(V50:AL50)</f>
        <v>#NAME?</v>
      </c>
      <c r="AO49" s="437"/>
      <c r="AP49" s="437" t="str">
        <f t="shared" si="1"/>
        <v/>
      </c>
      <c r="AQ49" s="437"/>
      <c r="AR49" s="437"/>
      <c r="AS49" s="1082">
        <v>23</v>
      </c>
    </row>
    <row r="50" spans="1:45" ht="1.1499999999999999" customHeight="1">
      <c r="A50" s="1290" t="s">
        <v>160</v>
      </c>
      <c r="B50" s="1290" t="s">
        <v>161</v>
      </c>
      <c r="C50" s="1290" t="s">
        <v>162</v>
      </c>
      <c r="D50" s="1290" t="s">
        <v>163</v>
      </c>
      <c r="E50" s="2220"/>
      <c r="F50" s="2220"/>
      <c r="G50" s="2220"/>
      <c r="H50" s="2220"/>
      <c r="I50" s="2222"/>
      <c r="J50" s="2222"/>
      <c r="K50" s="2221"/>
      <c r="L50" s="1291"/>
      <c r="P50" s="2223"/>
      <c r="Q50" s="2223"/>
      <c r="R50" s="294"/>
      <c r="S50" s="1150"/>
      <c r="T50" s="237"/>
      <c r="U50" s="237"/>
      <c r="V50" s="262"/>
      <c r="W50" s="262"/>
      <c r="X50" s="262"/>
      <c r="Y50" s="265" t="str">
        <f>Z49&amp;"-"&amp;AB49</f>
        <v>-</v>
      </c>
      <c r="Z50" s="2225"/>
      <c r="AA50" s="2102"/>
      <c r="AB50" s="2225"/>
      <c r="AC50" s="2102"/>
      <c r="AD50" s="262"/>
      <c r="AE50" s="262"/>
      <c r="AF50" s="262"/>
      <c r="AG50" s="265" t="str">
        <f>AH49&amp;"-"&amp;AJ49</f>
        <v>-</v>
      </c>
      <c r="AH50" s="2225"/>
      <c r="AI50" s="2102"/>
      <c r="AJ50" s="2227"/>
      <c r="AK50" s="2102"/>
      <c r="AL50" s="1276"/>
      <c r="AM50" s="2243"/>
      <c r="AO50" s="437"/>
      <c r="AP50" s="437" t="str">
        <f t="shared" si="1"/>
        <v/>
      </c>
      <c r="AQ50" s="437"/>
      <c r="AR50" s="437"/>
      <c r="AS50" s="1082">
        <v>1</v>
      </c>
    </row>
    <row r="51" spans="1:45" ht="11.45" customHeight="1">
      <c r="A51" s="1290" t="s">
        <v>160</v>
      </c>
      <c r="B51" s="1290" t="s">
        <v>161</v>
      </c>
      <c r="C51" s="1290" t="s">
        <v>162</v>
      </c>
      <c r="D51" s="1290" t="s">
        <v>163</v>
      </c>
      <c r="E51" s="2220"/>
      <c r="F51" s="2220"/>
      <c r="G51" s="2220"/>
      <c r="H51" s="2220"/>
      <c r="I51" s="2222"/>
      <c r="J51" s="2221"/>
      <c r="K51" s="1290"/>
      <c r="L51" s="1291"/>
      <c r="P51" s="2223"/>
      <c r="Q51" s="2223"/>
      <c r="R51" s="293"/>
      <c r="S51" s="1205"/>
      <c r="T51" s="225" t="s">
        <v>413</v>
      </c>
      <c r="U51" s="304"/>
      <c r="V51" s="304"/>
      <c r="W51" s="304"/>
      <c r="X51" s="304"/>
      <c r="Y51" s="304"/>
      <c r="Z51" s="304"/>
      <c r="AA51" s="304"/>
      <c r="AB51" s="304"/>
      <c r="AC51" s="304"/>
      <c r="AD51" s="304"/>
      <c r="AE51" s="304"/>
      <c r="AF51" s="304"/>
      <c r="AG51" s="304"/>
      <c r="AH51" s="304"/>
      <c r="AI51" s="304"/>
      <c r="AJ51" s="304"/>
      <c r="AK51" s="304"/>
      <c r="AL51" s="261"/>
      <c r="AM51" s="2244"/>
      <c r="AO51" s="437"/>
      <c r="AP51" s="437" t="str">
        <f t="shared" si="1"/>
        <v>Добавить вид теплоносителя (параметры теплоносителя)</v>
      </c>
      <c r="AQ51" s="437"/>
      <c r="AR51" s="437"/>
      <c r="AS51" s="1082">
        <v>11</v>
      </c>
    </row>
    <row r="52" spans="1:45" ht="11.45" customHeight="1">
      <c r="A52" s="1290" t="s">
        <v>160</v>
      </c>
      <c r="B52" s="1290" t="s">
        <v>161</v>
      </c>
      <c r="C52" s="1290" t="s">
        <v>162</v>
      </c>
      <c r="D52" s="1290" t="s">
        <v>163</v>
      </c>
      <c r="E52" s="2220"/>
      <c r="F52" s="2220"/>
      <c r="G52" s="2220"/>
      <c r="H52" s="2220"/>
      <c r="I52" s="2221"/>
      <c r="J52" s="1290"/>
      <c r="K52" s="1290"/>
      <c r="L52" s="1291"/>
      <c r="P52" s="2223"/>
      <c r="Q52" s="1147"/>
      <c r="R52" s="293"/>
      <c r="S52" s="1205"/>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160</v>
      </c>
      <c r="B53" s="1290" t="s">
        <v>161</v>
      </c>
      <c r="C53" s="1290" t="s">
        <v>162</v>
      </c>
      <c r="D53" s="1290" t="s">
        <v>163</v>
      </c>
      <c r="E53" s="2220"/>
      <c r="F53" s="2220"/>
      <c r="G53" s="2220"/>
      <c r="H53" s="2219"/>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160</v>
      </c>
      <c r="B54" s="1270" t="s">
        <v>161</v>
      </c>
      <c r="C54" s="1270" t="s">
        <v>162</v>
      </c>
      <c r="D54" s="1241"/>
      <c r="E54" s="2220"/>
      <c r="F54" s="2220"/>
      <c r="G54" s="2219"/>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160</v>
      </c>
      <c r="B55" s="1270" t="s">
        <v>161</v>
      </c>
      <c r="C55" s="1241"/>
      <c r="D55" s="1241"/>
      <c r="E55" s="2220"/>
      <c r="F55" s="2219"/>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160</v>
      </c>
      <c r="B56" s="1270"/>
      <c r="C56" s="1270"/>
      <c r="D56" s="1270"/>
      <c r="E56" s="2219"/>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2">
        <v>27</v>
      </c>
    </row>
    <row r="60" spans="1:45" ht="67.150000000000006" customHeight="1">
      <c r="O60" s="474"/>
      <c r="P60" s="1230"/>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2">
        <v>64</v>
      </c>
    </row>
    <row r="61" spans="1:45" ht="14.65" customHeight="1">
      <c r="O61" s="474"/>
      <c r="AS61" s="1082">
        <v>14</v>
      </c>
    </row>
    <row r="62" spans="1:45" ht="18.75" customHeight="1">
      <c r="O62" s="474"/>
      <c r="P62" s="1255"/>
      <c r="S62" s="1180"/>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082">
        <v>18</v>
      </c>
    </row>
    <row r="63" spans="1:45" ht="18.75" customHeight="1">
      <c r="O63" s="474"/>
      <c r="P63" s="1255"/>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082">
        <v>18</v>
      </c>
    </row>
    <row r="64" spans="1:45" ht="29.25" customHeight="1">
      <c r="O64" s="474"/>
      <c r="P64" s="1255"/>
      <c r="S64" s="1180"/>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19">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5" t="s">
        <v>398</v>
      </c>
      <c r="AO2" s="437"/>
      <c r="AP2" s="437" t="str">
        <f t="shared" ref="AP2:AP15" si="0">IF(T2="","",T2)</f>
        <v>Наименование тарифа</v>
      </c>
      <c r="AQ2" s="437"/>
      <c r="AR2" s="437"/>
      <c r="AS2" s="1082">
        <v>0</v>
      </c>
    </row>
    <row r="3" spans="1:45" ht="21" hidden="1" customHeight="1">
      <c r="A3" s="1290"/>
      <c r="B3" s="1290"/>
      <c r="C3" s="1290"/>
      <c r="D3" s="1290"/>
      <c r="E3" s="2220"/>
      <c r="F3" s="2219">
        <v>1</v>
      </c>
      <c r="G3" s="1290"/>
      <c r="H3" s="1290"/>
      <c r="I3" s="1290"/>
      <c r="J3" s="1290"/>
      <c r="K3" s="1290"/>
      <c r="L3" s="1291"/>
      <c r="M3" s="1292"/>
      <c r="N3" s="1292"/>
      <c r="O3" s="1292"/>
      <c r="P3" s="1259"/>
      <c r="Q3" s="289"/>
      <c r="R3" s="290"/>
      <c r="S3" s="1263"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5" t="s">
        <v>400</v>
      </c>
      <c r="AO3" s="437"/>
      <c r="AP3" s="437" t="str">
        <f t="shared" si="0"/>
        <v>Территория действия тарифа</v>
      </c>
      <c r="AQ3" s="437"/>
      <c r="AR3" s="437"/>
      <c r="AS3" s="1082">
        <v>0</v>
      </c>
    </row>
    <row r="4" spans="1:45" ht="23.25" hidden="1" customHeight="1">
      <c r="A4" s="1290"/>
      <c r="B4" s="1290"/>
      <c r="C4" s="1290"/>
      <c r="D4" s="1290"/>
      <c r="E4" s="2220"/>
      <c r="F4" s="2220"/>
      <c r="G4" s="2219">
        <v>1</v>
      </c>
      <c r="H4" s="1290"/>
      <c r="I4" s="1290"/>
      <c r="J4" s="1290"/>
      <c r="K4" s="1290"/>
      <c r="L4" s="1291"/>
      <c r="M4" s="1292"/>
      <c r="N4" s="1292"/>
      <c r="O4" s="1292"/>
      <c r="P4" s="291"/>
      <c r="Q4" s="289"/>
      <c r="R4" s="290"/>
      <c r="S4" s="1263"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0"/>
      <c r="F5" s="2220"/>
      <c r="G5" s="2220"/>
      <c r="H5" s="2219">
        <v>1</v>
      </c>
      <c r="I5" s="1290"/>
      <c r="J5" s="1290"/>
      <c r="K5" s="1290"/>
      <c r="L5" s="1291"/>
      <c r="M5" s="1292"/>
      <c r="N5" s="1292"/>
      <c r="O5" s="1292"/>
      <c r="P5" s="291"/>
      <c r="Q5" s="289"/>
      <c r="R5" s="290"/>
      <c r="S5" s="1263"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220"/>
      <c r="F6" s="2220"/>
      <c r="G6" s="2220"/>
      <c r="H6" s="2220"/>
      <c r="I6" s="2221" t="e">
        <f>S5&amp;".1"</f>
        <v>#N/A</v>
      </c>
      <c r="J6" s="1290"/>
      <c r="K6" s="1290"/>
      <c r="L6" s="1291" t="s">
        <v>405</v>
      </c>
      <c r="M6" s="474"/>
      <c r="P6" s="2223">
        <v>1</v>
      </c>
      <c r="Q6" s="1258"/>
      <c r="R6" s="293"/>
      <c r="S6" s="1263" t="e">
        <f>$I6</f>
        <v>#N/A</v>
      </c>
      <c r="T6" s="222" t="s">
        <v>406</v>
      </c>
      <c r="U6" s="237"/>
      <c r="V6" s="2207"/>
      <c r="W6" s="2208"/>
      <c r="X6" s="2208"/>
      <c r="Y6" s="2208"/>
      <c r="Z6" s="2208"/>
      <c r="AA6" s="2208"/>
      <c r="AB6" s="2208"/>
      <c r="AC6" s="2209"/>
      <c r="AD6" s="2207"/>
      <c r="AE6" s="2208"/>
      <c r="AF6" s="2208"/>
      <c r="AG6" s="2208"/>
      <c r="AH6" s="2208"/>
      <c r="AI6" s="2208"/>
      <c r="AJ6" s="2208"/>
      <c r="AK6" s="2208"/>
      <c r="AL6" s="2209"/>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0"/>
      <c r="F7" s="2220"/>
      <c r="G7" s="2220"/>
      <c r="H7" s="2220"/>
      <c r="I7" s="2222"/>
      <c r="J7" s="2221" t="e">
        <f>I6&amp;".1"</f>
        <v>#N/A</v>
      </c>
      <c r="K7" s="1290"/>
      <c r="L7" s="1291" t="s">
        <v>408</v>
      </c>
      <c r="M7" s="474"/>
      <c r="N7" s="1293"/>
      <c r="P7" s="2223"/>
      <c r="Q7" s="2223">
        <v>1</v>
      </c>
      <c r="R7" s="294"/>
      <c r="S7" s="1263" t="e">
        <f>$J7</f>
        <v>#N/A</v>
      </c>
      <c r="T7" s="223" t="s">
        <v>409</v>
      </c>
      <c r="U7" s="237"/>
      <c r="V7" s="2207"/>
      <c r="W7" s="2208"/>
      <c r="X7" s="2208"/>
      <c r="Y7" s="2208"/>
      <c r="Z7" s="2208"/>
      <c r="AA7" s="2208"/>
      <c r="AB7" s="2208"/>
      <c r="AC7" s="2209"/>
      <c r="AD7" s="2207"/>
      <c r="AE7" s="2208"/>
      <c r="AF7" s="2208"/>
      <c r="AG7" s="2208"/>
      <c r="AH7" s="2208"/>
      <c r="AI7" s="2208"/>
      <c r="AJ7" s="2208"/>
      <c r="AK7" s="2208"/>
      <c r="AL7" s="2209"/>
      <c r="AM7" s="1185" t="s">
        <v>410</v>
      </c>
      <c r="AO7" s="437"/>
      <c r="AP7" s="437" t="str">
        <f t="shared" si="0"/>
        <v>Группа потребителей</v>
      </c>
      <c r="AQ7" s="437"/>
      <c r="AR7" s="437"/>
      <c r="AS7" s="1082">
        <v>0</v>
      </c>
    </row>
    <row r="8" spans="1:45" ht="21" hidden="1" customHeight="1">
      <c r="A8" s="1290"/>
      <c r="B8" s="1290"/>
      <c r="C8" s="1290"/>
      <c r="D8" s="1290"/>
      <c r="E8" s="2220"/>
      <c r="F8" s="2220"/>
      <c r="G8" s="2220"/>
      <c r="H8" s="2220"/>
      <c r="I8" s="2222"/>
      <c r="J8" s="2222"/>
      <c r="K8" s="2221" t="e">
        <f>J7&amp;".1"</f>
        <v>#N/A</v>
      </c>
      <c r="L8" s="1291" t="s">
        <v>411</v>
      </c>
      <c r="M8" s="474"/>
      <c r="N8" s="1293"/>
      <c r="O8" s="1293"/>
      <c r="P8" s="2223"/>
      <c r="Q8" s="2223"/>
      <c r="R8" s="294">
        <v>1</v>
      </c>
      <c r="S8" s="1263" t="e">
        <f>$K8</f>
        <v>#N/A</v>
      </c>
      <c r="T8" s="1274"/>
      <c r="U8" s="237"/>
      <c r="V8" s="688"/>
      <c r="W8" s="262"/>
      <c r="X8" s="688"/>
      <c r="Y8" s="1184"/>
      <c r="Z8" s="2224"/>
      <c r="AA8" s="2102" t="s">
        <v>65</v>
      </c>
      <c r="AB8" s="2224"/>
      <c r="AC8" s="2102" t="s">
        <v>65</v>
      </c>
      <c r="AD8" s="688"/>
      <c r="AE8" s="262"/>
      <c r="AF8" s="688"/>
      <c r="AG8" s="1184"/>
      <c r="AH8" s="2224"/>
      <c r="AI8" s="2102" t="s">
        <v>65</v>
      </c>
      <c r="AJ8" s="2224"/>
      <c r="AK8" s="2102" t="s">
        <v>65</v>
      </c>
      <c r="AL8" s="262"/>
      <c r="AM8" s="2242" t="s">
        <v>412</v>
      </c>
      <c r="AN8" s="448" t="e">
        <f ca="1">STRCHECKDATE(V9:AL9)</f>
        <v>#NAME?</v>
      </c>
      <c r="AO8" s="437"/>
      <c r="AP8" s="437" t="str">
        <f t="shared" si="0"/>
        <v/>
      </c>
      <c r="AQ8" s="437"/>
      <c r="AR8" s="437"/>
      <c r="AS8" s="1082">
        <v>0</v>
      </c>
    </row>
    <row r="9" spans="1:45" ht="0.75" hidden="1" customHeight="1">
      <c r="A9" s="1290"/>
      <c r="B9" s="1290"/>
      <c r="C9" s="1290"/>
      <c r="D9" s="1290"/>
      <c r="E9" s="2220"/>
      <c r="F9" s="2220"/>
      <c r="G9" s="2220"/>
      <c r="H9" s="2220"/>
      <c r="I9" s="2222"/>
      <c r="J9" s="2222"/>
      <c r="K9" s="2221"/>
      <c r="L9" s="1291"/>
      <c r="M9" s="474"/>
      <c r="N9" s="1293"/>
      <c r="O9" s="1293"/>
      <c r="P9" s="2223"/>
      <c r="Q9" s="2223"/>
      <c r="R9" s="294"/>
      <c r="S9" s="1269"/>
      <c r="T9" s="237"/>
      <c r="U9" s="237"/>
      <c r="V9" s="262"/>
      <c r="W9" s="262"/>
      <c r="X9" s="262"/>
      <c r="Y9" s="265" t="str">
        <f>Z8&amp;"-"&amp;AB8</f>
        <v>-</v>
      </c>
      <c r="Z9" s="2225"/>
      <c r="AA9" s="2102"/>
      <c r="AB9" s="2225"/>
      <c r="AC9" s="2102"/>
      <c r="AD9" s="262"/>
      <c r="AE9" s="262"/>
      <c r="AF9" s="262"/>
      <c r="AG9" s="265" t="str">
        <f>AH8&amp;"-"&amp;AJ8</f>
        <v>-</v>
      </c>
      <c r="AH9" s="2225"/>
      <c r="AI9" s="2102"/>
      <c r="AJ9" s="2225"/>
      <c r="AK9" s="2102"/>
      <c r="AL9" s="262"/>
      <c r="AM9" s="2243"/>
      <c r="AO9" s="437"/>
      <c r="AP9" s="437" t="str">
        <f t="shared" si="0"/>
        <v/>
      </c>
      <c r="AQ9" s="437"/>
      <c r="AR9" s="437"/>
      <c r="AS9" s="1082">
        <v>0</v>
      </c>
    </row>
    <row r="10" spans="1:45" ht="15" hidden="1" customHeight="1">
      <c r="A10" s="1290"/>
      <c r="B10" s="1290"/>
      <c r="C10" s="1290"/>
      <c r="D10" s="1290"/>
      <c r="E10" s="2220"/>
      <c r="F10" s="2220"/>
      <c r="G10" s="2220"/>
      <c r="H10" s="2220"/>
      <c r="I10" s="2222"/>
      <c r="J10" s="2221"/>
      <c r="K10" s="1290"/>
      <c r="L10" s="1291"/>
      <c r="M10" s="474"/>
      <c r="N10" s="1293"/>
      <c r="P10" s="2223"/>
      <c r="Q10" s="2223"/>
      <c r="R10" s="293"/>
      <c r="S10" s="1205"/>
      <c r="T10" s="225" t="s">
        <v>413</v>
      </c>
      <c r="U10" s="304"/>
      <c r="V10" s="304"/>
      <c r="W10" s="304"/>
      <c r="X10" s="304"/>
      <c r="Y10" s="304"/>
      <c r="Z10" s="304"/>
      <c r="AA10" s="304"/>
      <c r="AB10" s="304"/>
      <c r="AC10" s="304"/>
      <c r="AD10" s="304"/>
      <c r="AE10" s="304"/>
      <c r="AF10" s="304"/>
      <c r="AG10" s="304"/>
      <c r="AH10" s="304"/>
      <c r="AI10" s="304"/>
      <c r="AJ10" s="304"/>
      <c r="AK10" s="304"/>
      <c r="AL10" s="261"/>
      <c r="AM10" s="224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0"/>
      <c r="F11" s="2220"/>
      <c r="G11" s="2220"/>
      <c r="H11" s="2220"/>
      <c r="I11" s="2221"/>
      <c r="J11" s="1290"/>
      <c r="K11" s="1290"/>
      <c r="L11" s="1291"/>
      <c r="M11" s="474"/>
      <c r="P11" s="2223"/>
      <c r="Q11" s="1258"/>
      <c r="R11" s="293"/>
      <c r="S11" s="1205"/>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0"/>
      <c r="F12" s="2220"/>
      <c r="G12" s="2220"/>
      <c r="H12" s="2219"/>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20"/>
      <c r="F13" s="2220"/>
      <c r="G13" s="2219"/>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0"/>
      <c r="F14" s="2219"/>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9"/>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7"/>
      <c r="AI17" s="2216" t="s">
        <v>65</v>
      </c>
      <c r="AJ17" s="2217"/>
      <c r="AK17" s="2216" t="s">
        <v>65</v>
      </c>
      <c r="AS17" s="1082">
        <v>0</v>
      </c>
    </row>
    <row r="18" spans="1:45" ht="14.25" hidden="1" customHeight="1">
      <c r="AD18" s="1287"/>
      <c r="AE18" s="1287"/>
      <c r="AF18" s="1287"/>
      <c r="AG18" s="265" t="str">
        <f>AH17&amp;"-"&amp;AJ17</f>
        <v>-</v>
      </c>
      <c r="AH18" s="2216"/>
      <c r="AI18" s="2216"/>
      <c r="AJ18" s="2216"/>
      <c r="AK18" s="2216"/>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0"/>
      <c r="U26" s="2200"/>
      <c r="V26" s="2200"/>
      <c r="W26" s="2200"/>
      <c r="X26" s="2200"/>
      <c r="Y26" s="2200"/>
      <c r="Z26" s="2200"/>
      <c r="AA26" s="2200"/>
      <c r="AB26" s="2200"/>
      <c r="AC26" s="2200"/>
      <c r="AD26" s="2200"/>
      <c r="AE26" s="2200"/>
      <c r="AF26" s="2200"/>
      <c r="AG26" s="2200"/>
      <c r="AH26" s="2200"/>
      <c r="AI26" s="2200"/>
      <c r="AJ26" s="2200"/>
      <c r="AK26" s="1170"/>
      <c r="AS26" s="1082">
        <v>14</v>
      </c>
    </row>
    <row r="27" spans="1:45" ht="14.65" customHeight="1">
      <c r="Q27" s="313"/>
      <c r="R27" s="313"/>
      <c r="S27" s="2172" t="str">
        <f>IF(org=0,"Не определено",org)</f>
        <v>МУП "Михайловское водопроводно-канализационное хозяйство"</v>
      </c>
      <c r="T27" s="2172"/>
      <c r="U27" s="2172"/>
      <c r="V27" s="2172"/>
      <c r="W27" s="2172"/>
      <c r="X27" s="2172"/>
      <c r="Y27" s="2172"/>
      <c r="Z27" s="2172"/>
      <c r="AA27" s="2172"/>
      <c r="AB27" s="2172"/>
      <c r="AC27" s="2172"/>
      <c r="AD27" s="2172"/>
      <c r="AE27" s="2172"/>
      <c r="AF27" s="2172"/>
      <c r="AG27" s="2172"/>
      <c r="AH27" s="2172"/>
      <c r="AI27" s="2172"/>
      <c r="AJ27" s="217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10" t="s">
        <v>42</v>
      </c>
      <c r="T29" s="2210"/>
      <c r="U29" s="1299"/>
      <c r="V29" s="2212" t="str">
        <f>IF(TITLE_NAME_OR_PR_CHANGE="",IF(TITLE_NAME_OR_PR="","",TITLE_NAME_OR_PR),TITLE_NAME_OR_PR_CHANGE)</f>
        <v/>
      </c>
      <c r="W29" s="2212"/>
      <c r="X29" s="2212"/>
      <c r="Y29" s="2212"/>
      <c r="Z29" s="2212"/>
      <c r="AA29" s="2212"/>
      <c r="AB29" s="2212"/>
      <c r="AC29" s="263"/>
      <c r="AD29" s="2212" t="str">
        <f>IF(TITLE_NAME_OR_PR_CHANGE="",IF(TITLE_NAME_OR_PR="","",TITLE_NAME_OR_PR),TITLE_NAME_OR_PR_CHANGE)</f>
        <v/>
      </c>
      <c r="AE29" s="2212"/>
      <c r="AF29" s="2212"/>
      <c r="AG29" s="2212"/>
      <c r="AH29" s="2212"/>
      <c r="AI29" s="2212"/>
      <c r="AJ29" s="221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10" t="s">
        <v>425</v>
      </c>
      <c r="T30" s="2210"/>
      <c r="U30" s="1299"/>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10" t="s">
        <v>426</v>
      </c>
      <c r="T31" s="2210"/>
      <c r="U31" s="1299"/>
      <c r="V31" s="2212" t="str">
        <f>IF(TITLE_NUMBER_PR_CHANGE="",IF(TITLE_NUMBER_PR="","",TITLE_NUMBER_PR),TITLE_NUMBER_PR_CHANGE)</f>
        <v/>
      </c>
      <c r="W31" s="2212"/>
      <c r="X31" s="2212"/>
      <c r="Y31" s="2212"/>
      <c r="Z31" s="2212"/>
      <c r="AA31" s="2212"/>
      <c r="AB31" s="2212"/>
      <c r="AC31" s="263"/>
      <c r="AD31" s="2212" t="str">
        <f>IF(TITLE_NUMBER_PR_CHANGE="",IF(TITLE_NUMBER_PR="","",TITLE_NUMBER_PR),TITLE_NUMBER_PR_CHANGE)</f>
        <v/>
      </c>
      <c r="AE31" s="2212"/>
      <c r="AF31" s="2212"/>
      <c r="AG31" s="2212"/>
      <c r="AH31" s="2212"/>
      <c r="AI31" s="2212"/>
      <c r="AJ31" s="221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10" t="s">
        <v>43</v>
      </c>
      <c r="T32" s="2210"/>
      <c r="U32" s="1299"/>
      <c r="V32" s="2212" t="str">
        <f>IF(TITLE_IST_PUB_CHANGE="",IF(TITLE_IST_PUB="","",TITLE_IST_PUB),TITLE_IST_PUB_CHANGE)</f>
        <v/>
      </c>
      <c r="W32" s="2212"/>
      <c r="X32" s="2212"/>
      <c r="Y32" s="2212"/>
      <c r="Z32" s="2212"/>
      <c r="AA32" s="2212"/>
      <c r="AB32" s="2212"/>
      <c r="AC32" s="263"/>
      <c r="AD32" s="2212" t="str">
        <f>IF(TITLE_IST_PUB_CHANGE="",IF(TITLE_IST_PUB="","",TITLE_IST_PUB),TITLE_IST_PUB_CHANGE)</f>
        <v/>
      </c>
      <c r="AE32" s="2212"/>
      <c r="AF32" s="2212"/>
      <c r="AG32" s="2212"/>
      <c r="AH32" s="2212"/>
      <c r="AI32" s="2212"/>
      <c r="AJ32" s="221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10" t="s">
        <v>427</v>
      </c>
      <c r="T34" s="2210"/>
      <c r="U34" s="1299"/>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10" t="s">
        <v>428</v>
      </c>
      <c r="T35" s="2210"/>
      <c r="U35" s="1299"/>
      <c r="V35" s="2212" t="str">
        <f>IF(TITLE_NUMBER_PR_CHANGE="",IF(TITLE_NUMBER_PR="","",TITLE_NUMBER_PR),TITLE_NUMBER_PR_CHANGE)</f>
        <v/>
      </c>
      <c r="W35" s="2212"/>
      <c r="X35" s="2212"/>
      <c r="Y35" s="2212"/>
      <c r="Z35" s="2212"/>
      <c r="AA35" s="2212"/>
      <c r="AB35" s="2212"/>
      <c r="AC35" s="263"/>
      <c r="AD35" s="2212" t="str">
        <f>IF(TITLE_NUMBER_PR_CHANGE="",IF(TITLE_NUMBER_PR="","",TITLE_NUMBER_PR),TITLE_NUMBER_PR_CHANGE)</f>
        <v/>
      </c>
      <c r="AE35" s="2212"/>
      <c r="AF35" s="2212"/>
      <c r="AG35" s="2212"/>
      <c r="AH35" s="2212"/>
      <c r="AI35" s="2212"/>
      <c r="AJ35" s="221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231"/>
      <c r="W37" s="2231"/>
      <c r="X37" s="2231"/>
      <c r="Y37" s="2231"/>
      <c r="Z37" s="2231"/>
      <c r="AA37" s="2231"/>
      <c r="AB37" s="2231"/>
      <c r="AC37" s="2231"/>
      <c r="AD37" s="2231"/>
      <c r="AE37" s="2231"/>
      <c r="AF37" s="2231"/>
      <c r="AG37" s="2231"/>
      <c r="AH37" s="2231"/>
      <c r="AI37" s="2231"/>
      <c r="AJ37" s="2231"/>
      <c r="AK37" s="2231"/>
      <c r="AS37" s="1082">
        <v>14</v>
      </c>
    </row>
    <row r="38" spans="1:45" ht="14.65" customHeight="1">
      <c r="Q38" s="313"/>
      <c r="R38" s="313"/>
      <c r="S38" s="2091" t="s">
        <v>302</v>
      </c>
      <c r="T38" s="2091"/>
      <c r="U38" s="2091"/>
      <c r="V38" s="2091"/>
      <c r="W38" s="2091"/>
      <c r="X38" s="2091"/>
      <c r="Y38" s="2091"/>
      <c r="Z38" s="2091"/>
      <c r="AA38" s="2091"/>
      <c r="AB38" s="2091"/>
      <c r="AC38" s="2091"/>
      <c r="AD38" s="2091"/>
      <c r="AE38" s="2091"/>
      <c r="AF38" s="2091"/>
      <c r="AG38" s="2091"/>
      <c r="AH38" s="2091"/>
      <c r="AI38" s="2091"/>
      <c r="AJ38" s="2091"/>
      <c r="AK38" s="2091"/>
      <c r="AL38" s="2091"/>
      <c r="AM38" s="2091" t="s">
        <v>303</v>
      </c>
      <c r="AS38" s="1082">
        <v>14</v>
      </c>
    </row>
    <row r="39" spans="1:45" ht="14.65" customHeight="1">
      <c r="Q39" s="313"/>
      <c r="R39" s="313"/>
      <c r="S39" s="2232" t="s">
        <v>87</v>
      </c>
      <c r="T39" s="2180" t="s">
        <v>430</v>
      </c>
      <c r="U39" s="238"/>
      <c r="V39" s="2233" t="s">
        <v>431</v>
      </c>
      <c r="W39" s="2234"/>
      <c r="X39" s="2234"/>
      <c r="Y39" s="2234"/>
      <c r="Z39" s="2234"/>
      <c r="AA39" s="2234"/>
      <c r="AB39" s="2235"/>
      <c r="AC39" s="2236" t="s">
        <v>432</v>
      </c>
      <c r="AD39" s="2233" t="s">
        <v>431</v>
      </c>
      <c r="AE39" s="2234"/>
      <c r="AF39" s="2234"/>
      <c r="AG39" s="2234"/>
      <c r="AH39" s="2234"/>
      <c r="AI39" s="2234"/>
      <c r="AJ39" s="2235"/>
      <c r="AK39" s="2236" t="s">
        <v>433</v>
      </c>
      <c r="AL39" s="2239" t="s">
        <v>434</v>
      </c>
      <c r="AM39" s="2091"/>
      <c r="AS39" s="1082">
        <v>14</v>
      </c>
    </row>
    <row r="40" spans="1:45" ht="35.65" customHeight="1">
      <c r="Q40" s="313"/>
      <c r="R40" s="313"/>
      <c r="S40" s="2232"/>
      <c r="T40" s="2180"/>
      <c r="U40" s="961"/>
      <c r="V40" s="2150" t="s">
        <v>435</v>
      </c>
      <c r="W40" s="2228" t="s">
        <v>436</v>
      </c>
      <c r="X40" s="2073" t="s">
        <v>437</v>
      </c>
      <c r="Y40" s="2072"/>
      <c r="Z40" s="2073" t="s">
        <v>451</v>
      </c>
      <c r="AA40" s="2078"/>
      <c r="AB40" s="2072"/>
      <c r="AC40" s="2237"/>
      <c r="AD40" s="2150" t="s">
        <v>435</v>
      </c>
      <c r="AE40" s="2228" t="s">
        <v>436</v>
      </c>
      <c r="AF40" s="2073" t="s">
        <v>437</v>
      </c>
      <c r="AG40" s="2072"/>
      <c r="AH40" s="2073" t="s">
        <v>438</v>
      </c>
      <c r="AI40" s="2078"/>
      <c r="AJ40" s="2072"/>
      <c r="AK40" s="2237"/>
      <c r="AL40" s="2240"/>
      <c r="AM40" s="2091"/>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2"/>
      <c r="T41" s="2180"/>
      <c r="U41" s="239"/>
      <c r="V41" s="2205"/>
      <c r="W41" s="2229"/>
      <c r="X41" s="1149" t="s">
        <v>446</v>
      </c>
      <c r="Y41" s="1149" t="s">
        <v>447</v>
      </c>
      <c r="Z41" s="1265" t="s">
        <v>448</v>
      </c>
      <c r="AA41" s="2185" t="s">
        <v>449</v>
      </c>
      <c r="AB41" s="2199"/>
      <c r="AC41" s="2238"/>
      <c r="AD41" s="2205"/>
      <c r="AE41" s="2229"/>
      <c r="AF41" s="1149" t="s">
        <v>446</v>
      </c>
      <c r="AG41" s="1149" t="s">
        <v>447</v>
      </c>
      <c r="AH41" s="1265" t="s">
        <v>448</v>
      </c>
      <c r="AI41" s="2185" t="s">
        <v>449</v>
      </c>
      <c r="AJ41" s="2199"/>
      <c r="AK41" s="2238"/>
      <c r="AL41" s="2241"/>
      <c r="AM41" s="209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0">
        <f ca="1">OFFSET(AA42,0,-1)+1</f>
        <v>4</v>
      </c>
      <c r="AB42" s="2230"/>
      <c r="AC42" s="1262">
        <f ca="1">OFFSET(AC42,0,-2)+1</f>
        <v>5</v>
      </c>
      <c r="AD42" s="1262">
        <f ca="1">OFFSET(AD42,0,-1)+1</f>
        <v>6</v>
      </c>
      <c r="AE42" s="1262"/>
      <c r="AF42" s="1262">
        <f ca="1">OFFSET(AF42,0,-1)+1</f>
        <v>1</v>
      </c>
      <c r="AG42" s="1262">
        <f ca="1">OFFSET(AG42,0,-1)+1</f>
        <v>2</v>
      </c>
      <c r="AH42" s="1262">
        <f ca="1">OFFSET(AH42,0,-1)+1</f>
        <v>3</v>
      </c>
      <c r="AI42" s="2230">
        <f ca="1">OFFSET(AI42,0,-1)+1</f>
        <v>4</v>
      </c>
      <c r="AJ42" s="2230"/>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21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165</v>
      </c>
      <c r="B44" s="1290" t="s">
        <v>166</v>
      </c>
      <c r="C44" s="1290"/>
      <c r="D44" s="1290"/>
      <c r="E44" s="2220"/>
      <c r="F44" s="2219">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5" t="s">
        <v>400</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220"/>
      <c r="F45" s="2220"/>
      <c r="G45" s="2219">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5" t="s">
        <v>402</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220"/>
      <c r="F46" s="2220"/>
      <c r="G46" s="2220"/>
      <c r="H46" s="2219">
        <v>1</v>
      </c>
      <c r="I46" s="1290"/>
      <c r="J46" s="1290"/>
      <c r="K46" s="1290"/>
      <c r="L46" s="1291"/>
      <c r="M46" s="1292"/>
      <c r="N46" s="1292"/>
      <c r="O46" s="1292"/>
      <c r="P46" s="291"/>
      <c r="Q46" s="289"/>
      <c r="R46" s="290"/>
      <c r="S46" s="1263"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5" t="s">
        <v>404</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220"/>
      <c r="F47" s="2220"/>
      <c r="G47" s="2220"/>
      <c r="H47" s="2220"/>
      <c r="I47" s="2221" t="str">
        <f>S46&amp;".1"</f>
        <v>....1</v>
      </c>
      <c r="J47" s="1290"/>
      <c r="K47" s="1290"/>
      <c r="L47" s="1291" t="s">
        <v>405</v>
      </c>
      <c r="P47" s="2223">
        <v>1</v>
      </c>
      <c r="Q47" s="1258"/>
      <c r="R47" s="293"/>
      <c r="S47" s="1263" t="str">
        <f>$I47</f>
        <v>....1</v>
      </c>
      <c r="T47" s="222" t="s">
        <v>406</v>
      </c>
      <c r="U47" s="237"/>
      <c r="V47" s="2207"/>
      <c r="W47" s="2208"/>
      <c r="X47" s="2208"/>
      <c r="Y47" s="2208"/>
      <c r="Z47" s="2208"/>
      <c r="AA47" s="2208"/>
      <c r="AB47" s="2208"/>
      <c r="AC47" s="2209"/>
      <c r="AD47" s="2207"/>
      <c r="AE47" s="2208"/>
      <c r="AF47" s="2208"/>
      <c r="AG47" s="2208"/>
      <c r="AH47" s="2208"/>
      <c r="AI47" s="2208"/>
      <c r="AJ47" s="2208"/>
      <c r="AK47" s="2208"/>
      <c r="AL47" s="2209"/>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220"/>
      <c r="F48" s="2220"/>
      <c r="G48" s="2220"/>
      <c r="H48" s="2220"/>
      <c r="I48" s="2222"/>
      <c r="J48" s="2221" t="str">
        <f>I47&amp;".1"</f>
        <v>....1.1</v>
      </c>
      <c r="K48" s="1290"/>
      <c r="L48" s="1291" t="s">
        <v>408</v>
      </c>
      <c r="P48" s="2223"/>
      <c r="Q48" s="2223">
        <v>1</v>
      </c>
      <c r="R48" s="294"/>
      <c r="S48" s="1263" t="str">
        <f>$J48</f>
        <v>....1.1</v>
      </c>
      <c r="T48" s="223" t="s">
        <v>409</v>
      </c>
      <c r="U48" s="237"/>
      <c r="V48" s="2207"/>
      <c r="W48" s="2208"/>
      <c r="X48" s="2208"/>
      <c r="Y48" s="2208"/>
      <c r="Z48" s="2208"/>
      <c r="AA48" s="2208"/>
      <c r="AB48" s="2208"/>
      <c r="AC48" s="2209"/>
      <c r="AD48" s="2207"/>
      <c r="AE48" s="2208"/>
      <c r="AF48" s="2208"/>
      <c r="AG48" s="2208"/>
      <c r="AH48" s="2208"/>
      <c r="AI48" s="2208"/>
      <c r="AJ48" s="2208"/>
      <c r="AK48" s="2208"/>
      <c r="AL48" s="2209"/>
      <c r="AM48" s="1185" t="s">
        <v>410</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220"/>
      <c r="F49" s="2220"/>
      <c r="G49" s="2220"/>
      <c r="H49" s="2220"/>
      <c r="I49" s="2222"/>
      <c r="J49" s="2222"/>
      <c r="K49" s="2221" t="str">
        <f>J48&amp;".1"</f>
        <v>....1.1.1</v>
      </c>
      <c r="L49" s="1291" t="s">
        <v>411</v>
      </c>
      <c r="P49" s="2223"/>
      <c r="Q49" s="2223"/>
      <c r="R49" s="294">
        <v>1</v>
      </c>
      <c r="S49" s="1263" t="str">
        <f>$K49</f>
        <v>....1.1.1</v>
      </c>
      <c r="T49" s="1274"/>
      <c r="U49" s="237"/>
      <c r="V49" s="688"/>
      <c r="W49" s="262"/>
      <c r="X49" s="688"/>
      <c r="Y49" s="1184"/>
      <c r="Z49" s="2224"/>
      <c r="AA49" s="2102" t="s">
        <v>65</v>
      </c>
      <c r="AB49" s="2224"/>
      <c r="AC49" s="2102" t="s">
        <v>65</v>
      </c>
      <c r="AD49" s="688"/>
      <c r="AE49" s="262"/>
      <c r="AF49" s="688"/>
      <c r="AG49" s="1184"/>
      <c r="AH49" s="2224"/>
      <c r="AI49" s="2102" t="s">
        <v>65</v>
      </c>
      <c r="AJ49" s="2226"/>
      <c r="AK49" s="2102" t="s">
        <v>65</v>
      </c>
      <c r="AL49" s="1275"/>
      <c r="AM49" s="2242" t="s">
        <v>412</v>
      </c>
      <c r="AN49" s="448" t="e">
        <f ca="1">STRCHECKDATE(V50:AL50)</f>
        <v>#NAME?</v>
      </c>
      <c r="AO49" s="437"/>
      <c r="AP49" s="437" t="str">
        <f t="shared" si="1"/>
        <v/>
      </c>
      <c r="AQ49" s="437"/>
      <c r="AR49" s="437"/>
      <c r="AS49" s="1082">
        <v>21</v>
      </c>
    </row>
    <row r="50" spans="1:45" ht="1.1499999999999999" customHeight="1">
      <c r="A50" s="1290" t="s">
        <v>165</v>
      </c>
      <c r="B50" s="1290" t="s">
        <v>166</v>
      </c>
      <c r="C50" s="1290" t="s">
        <v>167</v>
      </c>
      <c r="D50" s="1290" t="s">
        <v>168</v>
      </c>
      <c r="E50" s="2220"/>
      <c r="F50" s="2220"/>
      <c r="G50" s="2220"/>
      <c r="H50" s="2220"/>
      <c r="I50" s="2222"/>
      <c r="J50" s="2222"/>
      <c r="K50" s="2221"/>
      <c r="L50" s="1291"/>
      <c r="P50" s="2223"/>
      <c r="Q50" s="2223"/>
      <c r="R50" s="294"/>
      <c r="S50" s="1269"/>
      <c r="T50" s="237"/>
      <c r="U50" s="237"/>
      <c r="V50" s="262"/>
      <c r="W50" s="262"/>
      <c r="X50" s="262"/>
      <c r="Y50" s="265" t="str">
        <f>Z49&amp;"-"&amp;AB49</f>
        <v>-</v>
      </c>
      <c r="Z50" s="2225"/>
      <c r="AA50" s="2102"/>
      <c r="AB50" s="2225"/>
      <c r="AC50" s="2102"/>
      <c r="AD50" s="262"/>
      <c r="AE50" s="262"/>
      <c r="AF50" s="262"/>
      <c r="AG50" s="265" t="str">
        <f>AH49&amp;"-"&amp;AJ49</f>
        <v>-</v>
      </c>
      <c r="AH50" s="2225"/>
      <c r="AI50" s="2102"/>
      <c r="AJ50" s="2227"/>
      <c r="AK50" s="2102"/>
      <c r="AL50" s="1276"/>
      <c r="AM50" s="2243"/>
      <c r="AO50" s="437"/>
      <c r="AP50" s="437" t="str">
        <f t="shared" si="1"/>
        <v/>
      </c>
      <c r="AQ50" s="437"/>
      <c r="AR50" s="437"/>
      <c r="AS50" s="1082">
        <v>1</v>
      </c>
    </row>
    <row r="51" spans="1:45" ht="11.45" customHeight="1">
      <c r="A51" s="1290" t="s">
        <v>165</v>
      </c>
      <c r="B51" s="1290" t="s">
        <v>166</v>
      </c>
      <c r="C51" s="1290" t="s">
        <v>167</v>
      </c>
      <c r="D51" s="1290" t="s">
        <v>168</v>
      </c>
      <c r="E51" s="2220"/>
      <c r="F51" s="2220"/>
      <c r="G51" s="2220"/>
      <c r="H51" s="2220"/>
      <c r="I51" s="2222"/>
      <c r="J51" s="2221"/>
      <c r="K51" s="1290"/>
      <c r="L51" s="1291"/>
      <c r="P51" s="2223"/>
      <c r="Q51" s="2223"/>
      <c r="R51" s="293"/>
      <c r="S51" s="1205"/>
      <c r="T51" s="225" t="s">
        <v>413</v>
      </c>
      <c r="U51" s="304"/>
      <c r="V51" s="304"/>
      <c r="W51" s="304"/>
      <c r="X51" s="304"/>
      <c r="Y51" s="304"/>
      <c r="Z51" s="304"/>
      <c r="AA51" s="304"/>
      <c r="AB51" s="304"/>
      <c r="AC51" s="304"/>
      <c r="AD51" s="304"/>
      <c r="AE51" s="304"/>
      <c r="AF51" s="304"/>
      <c r="AG51" s="304"/>
      <c r="AH51" s="304"/>
      <c r="AI51" s="304"/>
      <c r="AJ51" s="304"/>
      <c r="AK51" s="304"/>
      <c r="AL51" s="261"/>
      <c r="AM51" s="2244"/>
      <c r="AO51" s="437"/>
      <c r="AP51" s="437" t="str">
        <f t="shared" si="1"/>
        <v>Добавить вид теплоносителя (параметры теплоносителя)</v>
      </c>
      <c r="AQ51" s="437"/>
      <c r="AR51" s="437"/>
      <c r="AS51" s="1082">
        <v>11</v>
      </c>
    </row>
    <row r="52" spans="1:45" ht="11.45" customHeight="1">
      <c r="A52" s="1290" t="s">
        <v>165</v>
      </c>
      <c r="B52" s="1290" t="s">
        <v>166</v>
      </c>
      <c r="C52" s="1290" t="s">
        <v>167</v>
      </c>
      <c r="D52" s="1290" t="s">
        <v>168</v>
      </c>
      <c r="E52" s="2220"/>
      <c r="F52" s="2220"/>
      <c r="G52" s="2220"/>
      <c r="H52" s="2220"/>
      <c r="I52" s="2221"/>
      <c r="J52" s="1290"/>
      <c r="K52" s="1290"/>
      <c r="L52" s="1291"/>
      <c r="P52" s="2223"/>
      <c r="Q52" s="1258"/>
      <c r="R52" s="293"/>
      <c r="S52" s="1205"/>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165</v>
      </c>
      <c r="B53" s="1290" t="s">
        <v>166</v>
      </c>
      <c r="C53" s="1290" t="s">
        <v>167</v>
      </c>
      <c r="D53" s="1290" t="s">
        <v>168</v>
      </c>
      <c r="E53" s="2220"/>
      <c r="F53" s="2220"/>
      <c r="G53" s="2220"/>
      <c r="H53" s="2219"/>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165</v>
      </c>
      <c r="B54" s="1270" t="s">
        <v>166</v>
      </c>
      <c r="C54" s="1270" t="s">
        <v>167</v>
      </c>
      <c r="D54" s="1241"/>
      <c r="E54" s="2220"/>
      <c r="F54" s="2220"/>
      <c r="G54" s="2219"/>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165</v>
      </c>
      <c r="B55" s="1270" t="s">
        <v>166</v>
      </c>
      <c r="C55" s="1241"/>
      <c r="D55" s="1241"/>
      <c r="E55" s="2220"/>
      <c r="F55" s="2219"/>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165</v>
      </c>
      <c r="B56" s="1270"/>
      <c r="C56" s="1270"/>
      <c r="D56" s="1270"/>
      <c r="E56" s="2219"/>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2">
        <v>27</v>
      </c>
    </row>
    <row r="60" spans="1:45" ht="65.25"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2">
        <v>62</v>
      </c>
    </row>
    <row r="61" spans="1:45" ht="14.65" customHeight="1">
      <c r="O61" s="474"/>
      <c r="AS61" s="1082">
        <v>14</v>
      </c>
    </row>
    <row r="62" spans="1:45" ht="18.75" customHeight="1">
      <c r="O62" s="474"/>
      <c r="S62" s="1180"/>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082">
        <v>18</v>
      </c>
    </row>
    <row r="63" spans="1:45" ht="18.75" customHeight="1">
      <c r="O63" s="474"/>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082">
        <v>18</v>
      </c>
    </row>
    <row r="64" spans="1:45" ht="29.25" customHeight="1">
      <c r="O64" s="474"/>
      <c r="S64" s="1180"/>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5">
        <v>1</v>
      </c>
      <c r="F2" s="1194"/>
      <c r="G2" s="1194"/>
      <c r="H2" s="1194"/>
      <c r="I2" s="1194"/>
      <c r="J2" s="1194"/>
      <c r="K2" s="1194"/>
      <c r="L2" s="1237"/>
      <c r="M2" s="1537"/>
      <c r="N2" s="1537"/>
      <c r="O2" s="1537"/>
      <c r="P2" s="1517"/>
      <c r="Q2" s="297"/>
      <c r="R2" s="292"/>
      <c r="S2" s="1881" t="e">
        <f>INDEX(PT_DIFFERENTIATION_NUM_NTAR,MATCH(A2,PT_DIFFERENTIATION_NTAR_ID,0))</f>
        <v>#N/A</v>
      </c>
      <c r="T2" s="1452"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5" t="s">
        <v>398</v>
      </c>
      <c r="AO2" s="1551"/>
      <c r="AP2" s="1551" t="str">
        <f t="shared" ref="AP2:AP15" si="0">IF(T2="","",T2)</f>
        <v>Наименование тарифа</v>
      </c>
      <c r="AQ2" s="1551"/>
      <c r="AR2" s="1551"/>
      <c r="AS2" s="1558">
        <v>0</v>
      </c>
    </row>
    <row r="3" spans="1:45" ht="21" hidden="1" customHeight="1">
      <c r="A3" s="1194"/>
      <c r="B3" s="1194"/>
      <c r="C3" s="1194"/>
      <c r="D3" s="1194"/>
      <c r="E3" s="2246"/>
      <c r="F3" s="2245">
        <v>1</v>
      </c>
      <c r="G3" s="1194"/>
      <c r="H3" s="1194"/>
      <c r="I3" s="1194"/>
      <c r="J3" s="1194"/>
      <c r="K3" s="1194"/>
      <c r="L3" s="1237"/>
      <c r="M3" s="1537"/>
      <c r="N3" s="1537"/>
      <c r="O3" s="1537"/>
      <c r="P3" s="1863"/>
      <c r="Q3" s="289"/>
      <c r="R3" s="290"/>
      <c r="S3" s="1881" t="e">
        <f>INDEX(PT_DIFFERENTIATION_NUM_TER,MATCH(B3,PT_DIFFERENTIATION_TER_ID,0))</f>
        <v>#N/A</v>
      </c>
      <c r="T3" s="1449"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5" t="s">
        <v>400</v>
      </c>
      <c r="AO3" s="1551"/>
      <c r="AP3" s="1551" t="str">
        <f t="shared" si="0"/>
        <v>Территория действия тарифа</v>
      </c>
      <c r="AQ3" s="1551"/>
      <c r="AR3" s="1551"/>
      <c r="AS3" s="1558">
        <v>0</v>
      </c>
    </row>
    <row r="4" spans="1:45" ht="23.25" hidden="1" customHeight="1">
      <c r="A4" s="1194"/>
      <c r="B4" s="1194"/>
      <c r="C4" s="1194"/>
      <c r="D4" s="1194"/>
      <c r="E4" s="2246"/>
      <c r="F4" s="2246"/>
      <c r="G4" s="2245">
        <v>1</v>
      </c>
      <c r="H4" s="1194"/>
      <c r="I4" s="1194"/>
      <c r="J4" s="1194"/>
      <c r="K4" s="1194"/>
      <c r="L4" s="1237"/>
      <c r="M4" s="1537"/>
      <c r="N4" s="1537"/>
      <c r="O4" s="1537"/>
      <c r="P4" s="291"/>
      <c r="Q4" s="289"/>
      <c r="R4" s="290"/>
      <c r="S4" s="1881"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6"/>
      <c r="F5" s="2246"/>
      <c r="G5" s="2246"/>
      <c r="H5" s="2245">
        <v>1</v>
      </c>
      <c r="I5" s="1194"/>
      <c r="J5" s="1194"/>
      <c r="K5" s="1194"/>
      <c r="L5" s="1237"/>
      <c r="M5" s="1537"/>
      <c r="N5" s="1537"/>
      <c r="O5" s="1537"/>
      <c r="P5" s="291"/>
      <c r="Q5" s="289"/>
      <c r="R5" s="290"/>
      <c r="S5" s="1881"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246"/>
      <c r="F6" s="2246"/>
      <c r="G6" s="2246"/>
      <c r="H6" s="2246"/>
      <c r="I6" s="2091" t="e">
        <f>S5&amp;".1"</f>
        <v>#N/A</v>
      </c>
      <c r="J6" s="1194"/>
      <c r="K6" s="1194"/>
      <c r="L6" s="1237" t="s">
        <v>405</v>
      </c>
      <c r="M6" s="1562"/>
      <c r="P6" s="2223">
        <v>1</v>
      </c>
      <c r="Q6" s="1877"/>
      <c r="R6" s="293"/>
      <c r="S6" s="1881" t="e">
        <f>$I6</f>
        <v>#N/A</v>
      </c>
      <c r="T6" s="222" t="s">
        <v>406</v>
      </c>
      <c r="U6" s="237"/>
      <c r="V6" s="2207"/>
      <c r="W6" s="2208"/>
      <c r="X6" s="2208"/>
      <c r="Y6" s="2208"/>
      <c r="Z6" s="2208"/>
      <c r="AA6" s="2208"/>
      <c r="AB6" s="2208"/>
      <c r="AC6" s="2209"/>
      <c r="AD6" s="2207"/>
      <c r="AE6" s="2208"/>
      <c r="AF6" s="2208"/>
      <c r="AG6" s="2208"/>
      <c r="AH6" s="2208"/>
      <c r="AI6" s="2208"/>
      <c r="AJ6" s="2208"/>
      <c r="AK6" s="2208"/>
      <c r="AL6" s="2209"/>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6"/>
      <c r="F7" s="2246"/>
      <c r="G7" s="2246"/>
      <c r="H7" s="2246"/>
      <c r="I7" s="2073"/>
      <c r="J7" s="2091" t="e">
        <f>I6&amp;".1"</f>
        <v>#N/A</v>
      </c>
      <c r="K7" s="1194"/>
      <c r="L7" s="1237" t="s">
        <v>408</v>
      </c>
      <c r="M7" s="1562"/>
      <c r="N7" s="1558"/>
      <c r="P7" s="2223"/>
      <c r="Q7" s="2223">
        <v>1</v>
      </c>
      <c r="R7" s="294"/>
      <c r="S7" s="1881" t="e">
        <f>$J7</f>
        <v>#N/A</v>
      </c>
      <c r="T7" s="223" t="s">
        <v>409</v>
      </c>
      <c r="U7" s="237"/>
      <c r="V7" s="2207"/>
      <c r="W7" s="2208"/>
      <c r="X7" s="2208"/>
      <c r="Y7" s="2208"/>
      <c r="Z7" s="2208"/>
      <c r="AA7" s="2208"/>
      <c r="AB7" s="2208"/>
      <c r="AC7" s="2209"/>
      <c r="AD7" s="2207"/>
      <c r="AE7" s="2208"/>
      <c r="AF7" s="2208"/>
      <c r="AG7" s="2208"/>
      <c r="AH7" s="2208"/>
      <c r="AI7" s="2208"/>
      <c r="AJ7" s="2208"/>
      <c r="AK7" s="2208"/>
      <c r="AL7" s="2209"/>
      <c r="AM7" s="1185" t="s">
        <v>410</v>
      </c>
      <c r="AO7" s="1551"/>
      <c r="AP7" s="1551" t="str">
        <f t="shared" si="0"/>
        <v>Группа потребителей</v>
      </c>
      <c r="AQ7" s="1551"/>
      <c r="AR7" s="1551"/>
      <c r="AS7" s="1558">
        <v>0</v>
      </c>
    </row>
    <row r="8" spans="1:45" ht="21" hidden="1" customHeight="1">
      <c r="A8" s="1194"/>
      <c r="B8" s="1194"/>
      <c r="C8" s="1194"/>
      <c r="D8" s="1194"/>
      <c r="E8" s="2246"/>
      <c r="F8" s="2246"/>
      <c r="G8" s="2246"/>
      <c r="H8" s="2246"/>
      <c r="I8" s="2073"/>
      <c r="J8" s="2073"/>
      <c r="K8" s="2091" t="e">
        <f>J7&amp;".1"</f>
        <v>#N/A</v>
      </c>
      <c r="L8" s="1237" t="s">
        <v>411</v>
      </c>
      <c r="M8" s="1562"/>
      <c r="N8" s="1558"/>
      <c r="O8" s="1558"/>
      <c r="P8" s="2223"/>
      <c r="Q8" s="2223"/>
      <c r="R8" s="294">
        <v>1</v>
      </c>
      <c r="S8" s="1881" t="e">
        <f>$K8</f>
        <v>#N/A</v>
      </c>
      <c r="T8" s="1274"/>
      <c r="U8" s="237"/>
      <c r="V8" s="688"/>
      <c r="W8" s="262"/>
      <c r="X8" s="688"/>
      <c r="Y8" s="1184"/>
      <c r="Z8" s="2224"/>
      <c r="AA8" s="2102" t="s">
        <v>65</v>
      </c>
      <c r="AB8" s="2224"/>
      <c r="AC8" s="2102" t="s">
        <v>65</v>
      </c>
      <c r="AD8" s="688"/>
      <c r="AE8" s="262"/>
      <c r="AF8" s="688"/>
      <c r="AG8" s="1184"/>
      <c r="AH8" s="2224"/>
      <c r="AI8" s="2102" t="s">
        <v>65</v>
      </c>
      <c r="AJ8" s="2224"/>
      <c r="AK8" s="2102" t="s">
        <v>65</v>
      </c>
      <c r="AL8" s="262"/>
      <c r="AM8" s="2242" t="s">
        <v>412</v>
      </c>
      <c r="AN8" s="1563" t="e">
        <f ca="1">STRCHECKDATE(V9:AL9)</f>
        <v>#NAME?</v>
      </c>
      <c r="AO8" s="1551"/>
      <c r="AP8" s="1551" t="str">
        <f t="shared" si="0"/>
        <v/>
      </c>
      <c r="AQ8" s="1551"/>
      <c r="AR8" s="1551"/>
      <c r="AS8" s="1558">
        <v>0</v>
      </c>
    </row>
    <row r="9" spans="1:45" ht="0.75" hidden="1" customHeight="1">
      <c r="A9" s="1194"/>
      <c r="B9" s="1194"/>
      <c r="C9" s="1194"/>
      <c r="D9" s="1194"/>
      <c r="E9" s="2246"/>
      <c r="F9" s="2246"/>
      <c r="G9" s="2246"/>
      <c r="H9" s="2246"/>
      <c r="I9" s="2073"/>
      <c r="J9" s="2073"/>
      <c r="K9" s="2091"/>
      <c r="L9" s="1237"/>
      <c r="M9" s="1562"/>
      <c r="N9" s="1558"/>
      <c r="O9" s="1558"/>
      <c r="P9" s="2223"/>
      <c r="Q9" s="2223"/>
      <c r="R9" s="294"/>
      <c r="S9" s="1890"/>
      <c r="T9" s="237"/>
      <c r="U9" s="237"/>
      <c r="V9" s="262"/>
      <c r="W9" s="262"/>
      <c r="X9" s="262"/>
      <c r="Y9" s="265" t="str">
        <f>Z8&amp;"-"&amp;AB8</f>
        <v>-</v>
      </c>
      <c r="Z9" s="2225"/>
      <c r="AA9" s="2102"/>
      <c r="AB9" s="2225"/>
      <c r="AC9" s="2102"/>
      <c r="AD9" s="262"/>
      <c r="AE9" s="262"/>
      <c r="AF9" s="262"/>
      <c r="AG9" s="265" t="str">
        <f>AH8&amp;"-"&amp;AJ8</f>
        <v>-</v>
      </c>
      <c r="AH9" s="2225"/>
      <c r="AI9" s="2102"/>
      <c r="AJ9" s="2225"/>
      <c r="AK9" s="2102"/>
      <c r="AL9" s="262"/>
      <c r="AM9" s="2243"/>
      <c r="AO9" s="1551"/>
      <c r="AP9" s="1551" t="str">
        <f t="shared" si="0"/>
        <v/>
      </c>
      <c r="AQ9" s="1551"/>
      <c r="AR9" s="1551"/>
      <c r="AS9" s="1558">
        <v>0</v>
      </c>
    </row>
    <row r="10" spans="1:45" ht="15" hidden="1" customHeight="1">
      <c r="A10" s="1194"/>
      <c r="B10" s="1194"/>
      <c r="C10" s="1194"/>
      <c r="D10" s="1194"/>
      <c r="E10" s="2246"/>
      <c r="F10" s="2246"/>
      <c r="G10" s="2246"/>
      <c r="H10" s="2246"/>
      <c r="I10" s="2073"/>
      <c r="J10" s="2091"/>
      <c r="K10" s="1194"/>
      <c r="L10" s="1237"/>
      <c r="M10" s="1562"/>
      <c r="N10" s="1558"/>
      <c r="P10" s="2223"/>
      <c r="Q10" s="2223"/>
      <c r="R10" s="293"/>
      <c r="S10" s="1205"/>
      <c r="T10" s="225" t="s">
        <v>413</v>
      </c>
      <c r="U10" s="537"/>
      <c r="V10" s="537"/>
      <c r="W10" s="537"/>
      <c r="X10" s="537"/>
      <c r="Y10" s="537"/>
      <c r="Z10" s="537"/>
      <c r="AA10" s="537"/>
      <c r="AB10" s="537"/>
      <c r="AC10" s="537"/>
      <c r="AD10" s="537"/>
      <c r="AE10" s="537"/>
      <c r="AF10" s="537"/>
      <c r="AG10" s="537"/>
      <c r="AH10" s="537"/>
      <c r="AI10" s="537"/>
      <c r="AJ10" s="537"/>
      <c r="AK10" s="537"/>
      <c r="AL10" s="261"/>
      <c r="AM10" s="224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6"/>
      <c r="F11" s="2246"/>
      <c r="G11" s="2246"/>
      <c r="H11" s="2246"/>
      <c r="I11" s="2091"/>
      <c r="J11" s="1194"/>
      <c r="K11" s="1194"/>
      <c r="L11" s="1237"/>
      <c r="M11" s="1562"/>
      <c r="P11" s="2223"/>
      <c r="Q11" s="1877"/>
      <c r="R11" s="293"/>
      <c r="S11" s="1205"/>
      <c r="T11" s="224" t="s">
        <v>414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46"/>
      <c r="F12" s="2246"/>
      <c r="G12" s="2246"/>
      <c r="H12" s="2245"/>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46"/>
      <c r="F13" s="2246"/>
      <c r="G13" s="2245"/>
      <c r="H13" s="1301"/>
      <c r="I13" s="1301"/>
      <c r="J13" s="1301"/>
      <c r="K13" s="1301"/>
      <c r="L13" s="1304"/>
      <c r="M13" s="1305"/>
      <c r="N13" s="1305"/>
      <c r="O13" s="288"/>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46"/>
      <c r="F14" s="2245"/>
      <c r="G14" s="1301"/>
      <c r="H14" s="1301"/>
      <c r="I14" s="1301"/>
      <c r="J14" s="1301"/>
      <c r="K14" s="1301"/>
      <c r="L14" s="1304"/>
      <c r="M14" s="1306"/>
      <c r="N14" s="1306"/>
      <c r="O14" s="28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45"/>
      <c r="F15" s="1301"/>
      <c r="G15" s="1301"/>
      <c r="H15" s="1301"/>
      <c r="I15" s="1301"/>
      <c r="J15" s="1301"/>
      <c r="K15" s="1301"/>
      <c r="L15" s="1304"/>
      <c r="M15" s="1306"/>
      <c r="N15" s="1306"/>
      <c r="O15" s="28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7"/>
      <c r="AI17" s="2216" t="s">
        <v>65</v>
      </c>
      <c r="AJ17" s="2217"/>
      <c r="AK17" s="2216" t="s">
        <v>65</v>
      </c>
      <c r="AS17" s="1558">
        <v>0</v>
      </c>
    </row>
    <row r="18" spans="1:45" ht="14.25" hidden="1" customHeight="1">
      <c r="AD18" s="1287"/>
      <c r="AE18" s="1287"/>
      <c r="AF18" s="1287"/>
      <c r="AG18" s="265" t="str">
        <f>AH17&amp;"-"&amp;AJ17</f>
        <v>-</v>
      </c>
      <c r="AH18" s="2216"/>
      <c r="AI18" s="2216"/>
      <c r="AJ18" s="2216"/>
      <c r="AK18" s="221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0"/>
      <c r="U26" s="2200"/>
      <c r="V26" s="2200"/>
      <c r="W26" s="2200"/>
      <c r="X26" s="2200"/>
      <c r="Y26" s="2200"/>
      <c r="Z26" s="2200"/>
      <c r="AA26" s="2200"/>
      <c r="AB26" s="2200"/>
      <c r="AC26" s="2200"/>
      <c r="AD26" s="2200"/>
      <c r="AE26" s="2200"/>
      <c r="AF26" s="2200"/>
      <c r="AG26" s="2200"/>
      <c r="AH26" s="2200"/>
      <c r="AI26" s="2200"/>
      <c r="AJ26" s="2200"/>
      <c r="AK26" s="1170"/>
      <c r="AS26" s="1558">
        <v>14</v>
      </c>
    </row>
    <row r="27" spans="1:45" ht="14.65" customHeight="1">
      <c r="Q27" s="313"/>
      <c r="R27" s="313"/>
      <c r="S27" s="2172" t="str">
        <f>IF(org=0,"Не определено",org)</f>
        <v>МУП "Михайловское водопроводно-канализационное хозяйство"</v>
      </c>
      <c r="T27" s="2172"/>
      <c r="U27" s="2172"/>
      <c r="V27" s="2172"/>
      <c r="W27" s="2172"/>
      <c r="X27" s="2172"/>
      <c r="Y27" s="2172"/>
      <c r="Z27" s="2172"/>
      <c r="AA27" s="2172"/>
      <c r="AB27" s="2172"/>
      <c r="AC27" s="2172"/>
      <c r="AD27" s="2172"/>
      <c r="AE27" s="2172"/>
      <c r="AF27" s="2172"/>
      <c r="AG27" s="2172"/>
      <c r="AH27" s="2172"/>
      <c r="AI27" s="2172"/>
      <c r="AJ27" s="217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10" t="s">
        <v>42</v>
      </c>
      <c r="T29" s="2210"/>
      <c r="U29" s="1299"/>
      <c r="V29" s="2212" t="str">
        <f>IF(TITLE_NAME_OR_PR_CHANGE="",IF(TITLE_NAME_OR_PR="","",TITLE_NAME_OR_PR),TITLE_NAME_OR_PR_CHANGE)</f>
        <v/>
      </c>
      <c r="W29" s="2212"/>
      <c r="X29" s="2212"/>
      <c r="Y29" s="2212"/>
      <c r="Z29" s="2212"/>
      <c r="AA29" s="2212"/>
      <c r="AB29" s="2212"/>
      <c r="AC29" s="1562"/>
      <c r="AD29" s="2212" t="str">
        <f>IF(TITLE_NAME_OR_PR_CHANGE="",IF(TITLE_NAME_OR_PR="","",TITLE_NAME_OR_PR),TITLE_NAME_OR_PR_CHANGE)</f>
        <v/>
      </c>
      <c r="AE29" s="2212"/>
      <c r="AF29" s="2212"/>
      <c r="AG29" s="2212"/>
      <c r="AH29" s="2212"/>
      <c r="AI29" s="2212"/>
      <c r="AJ29" s="221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10" t="s">
        <v>425</v>
      </c>
      <c r="T30" s="2210"/>
      <c r="U30" s="1299"/>
      <c r="V30" s="2211" t="str">
        <f>IF(TITLE_DATE_PR_CHANGE="",IF(TITLE_DATE_PR="","",TITLE_DATE_PR),TITLE_DATE_PR_CHANGE)</f>
        <v/>
      </c>
      <c r="W30" s="2211"/>
      <c r="X30" s="2211"/>
      <c r="Y30" s="2211"/>
      <c r="Z30" s="2211"/>
      <c r="AA30" s="2211"/>
      <c r="AB30" s="2211"/>
      <c r="AC30" s="1562"/>
      <c r="AD30" s="2211" t="str">
        <f>IF(TITLE_DATE_PR_CHANGE="",IF(TITLE_DATE_PR="","",TITLE_DATE_PR),TITLE_DATE_PR_CHANGE)</f>
        <v/>
      </c>
      <c r="AE30" s="2211"/>
      <c r="AF30" s="2211"/>
      <c r="AG30" s="2211"/>
      <c r="AH30" s="2211"/>
      <c r="AI30" s="2211"/>
      <c r="AJ30" s="221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10" t="s">
        <v>426</v>
      </c>
      <c r="T31" s="2210"/>
      <c r="U31" s="1299"/>
      <c r="V31" s="2212" t="str">
        <f>IF(TITLE_NUMBER_PR_CHANGE="",IF(TITLE_NUMBER_PR="","",TITLE_NUMBER_PR),TITLE_NUMBER_PR_CHANGE)</f>
        <v/>
      </c>
      <c r="W31" s="2212"/>
      <c r="X31" s="2212"/>
      <c r="Y31" s="2212"/>
      <c r="Z31" s="2212"/>
      <c r="AA31" s="2212"/>
      <c r="AB31" s="2212"/>
      <c r="AC31" s="1562"/>
      <c r="AD31" s="2212" t="str">
        <f>IF(TITLE_NUMBER_PR_CHANGE="",IF(TITLE_NUMBER_PR="","",TITLE_NUMBER_PR),TITLE_NUMBER_PR_CHANGE)</f>
        <v/>
      </c>
      <c r="AE31" s="2212"/>
      <c r="AF31" s="2212"/>
      <c r="AG31" s="2212"/>
      <c r="AH31" s="2212"/>
      <c r="AI31" s="2212"/>
      <c r="AJ31" s="221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10" t="s">
        <v>43</v>
      </c>
      <c r="T32" s="2210"/>
      <c r="U32" s="1299"/>
      <c r="V32" s="2212" t="str">
        <f>IF(TITLE_IST_PUB_CHANGE="",IF(TITLE_IST_PUB="","",TITLE_IST_PUB),TITLE_IST_PUB_CHANGE)</f>
        <v/>
      </c>
      <c r="W32" s="2212"/>
      <c r="X32" s="2212"/>
      <c r="Y32" s="2212"/>
      <c r="Z32" s="2212"/>
      <c r="AA32" s="2212"/>
      <c r="AB32" s="2212"/>
      <c r="AC32" s="1562"/>
      <c r="AD32" s="2212" t="str">
        <f>IF(TITLE_IST_PUB_CHANGE="",IF(TITLE_IST_PUB="","",TITLE_IST_PUB),TITLE_IST_PUB_CHANGE)</f>
        <v/>
      </c>
      <c r="AE32" s="2212"/>
      <c r="AF32" s="2212"/>
      <c r="AG32" s="2212"/>
      <c r="AH32" s="2212"/>
      <c r="AI32" s="2212"/>
      <c r="AJ32" s="221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10" t="s">
        <v>427</v>
      </c>
      <c r="T34" s="2210"/>
      <c r="U34" s="1299"/>
      <c r="V34" s="2211" t="str">
        <f>IF(TITLE_DATE_PR_CHANGE="",IF(TITLE_DATE_PR="","",TITLE_DATE_PR),TITLE_DATE_PR_CHANGE)</f>
        <v/>
      </c>
      <c r="W34" s="2211"/>
      <c r="X34" s="2211"/>
      <c r="Y34" s="2211"/>
      <c r="Z34" s="2211"/>
      <c r="AA34" s="2211"/>
      <c r="AB34" s="2211"/>
      <c r="AC34" s="1562"/>
      <c r="AD34" s="2211" t="str">
        <f>IF(TITLE_DATE_PR_CHANGE="",IF(TITLE_DATE_PR="","",TITLE_DATE_PR),TITLE_DATE_PR_CHANGE)</f>
        <v/>
      </c>
      <c r="AE34" s="2211"/>
      <c r="AF34" s="2211"/>
      <c r="AG34" s="2211"/>
      <c r="AH34" s="2211"/>
      <c r="AI34" s="2211"/>
      <c r="AJ34" s="221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10" t="s">
        <v>428</v>
      </c>
      <c r="T35" s="2210"/>
      <c r="U35" s="1299"/>
      <c r="V35" s="2212" t="str">
        <f>IF(TITLE_NUMBER_PR_CHANGE="",IF(TITLE_NUMBER_PR="","",TITLE_NUMBER_PR),TITLE_NUMBER_PR_CHANGE)</f>
        <v/>
      </c>
      <c r="W35" s="2212"/>
      <c r="X35" s="2212"/>
      <c r="Y35" s="2212"/>
      <c r="Z35" s="2212"/>
      <c r="AA35" s="2212"/>
      <c r="AB35" s="2212"/>
      <c r="AC35" s="1562"/>
      <c r="AD35" s="2212" t="str">
        <f>IF(TITLE_NUMBER_PR_CHANGE="",IF(TITLE_NUMBER_PR="","",TITLE_NUMBER_PR),TITLE_NUMBER_PR_CHANGE)</f>
        <v/>
      </c>
      <c r="AE35" s="2212"/>
      <c r="AF35" s="2212"/>
      <c r="AG35" s="2212"/>
      <c r="AH35" s="2212"/>
      <c r="AI35" s="2212"/>
      <c r="AJ35" s="221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31"/>
      <c r="W37" s="2231"/>
      <c r="X37" s="2231"/>
      <c r="Y37" s="2231"/>
      <c r="Z37" s="2231"/>
      <c r="AA37" s="2231"/>
      <c r="AB37" s="2231"/>
      <c r="AC37" s="2231"/>
      <c r="AD37" s="2231"/>
      <c r="AE37" s="2231"/>
      <c r="AF37" s="2231"/>
      <c r="AG37" s="2231"/>
      <c r="AH37" s="2231"/>
      <c r="AI37" s="2231"/>
      <c r="AJ37" s="2231"/>
      <c r="AK37" s="2231"/>
      <c r="AS37" s="1558">
        <v>14</v>
      </c>
    </row>
    <row r="38" spans="1:45" ht="14.65" customHeight="1">
      <c r="Q38" s="313"/>
      <c r="R38" s="313"/>
      <c r="S38" s="2091" t="s">
        <v>302</v>
      </c>
      <c r="T38" s="2091"/>
      <c r="U38" s="2091"/>
      <c r="V38" s="2091"/>
      <c r="W38" s="2091"/>
      <c r="X38" s="2091"/>
      <c r="Y38" s="2091"/>
      <c r="Z38" s="2091"/>
      <c r="AA38" s="2091"/>
      <c r="AB38" s="2091"/>
      <c r="AC38" s="2091"/>
      <c r="AD38" s="2091"/>
      <c r="AE38" s="2091"/>
      <c r="AF38" s="2091"/>
      <c r="AG38" s="2091"/>
      <c r="AH38" s="2091"/>
      <c r="AI38" s="2091"/>
      <c r="AJ38" s="2091"/>
      <c r="AK38" s="2091"/>
      <c r="AL38" s="2091"/>
      <c r="AM38" s="2091" t="s">
        <v>303</v>
      </c>
      <c r="AS38" s="1558">
        <v>14</v>
      </c>
    </row>
    <row r="39" spans="1:45" ht="14.65" customHeight="1">
      <c r="Q39" s="313"/>
      <c r="R39" s="313"/>
      <c r="S39" s="2232" t="s">
        <v>87</v>
      </c>
      <c r="T39" s="2180" t="s">
        <v>430</v>
      </c>
      <c r="U39" s="274"/>
      <c r="V39" s="2233" t="s">
        <v>431</v>
      </c>
      <c r="W39" s="2234"/>
      <c r="X39" s="2234"/>
      <c r="Y39" s="2234"/>
      <c r="Z39" s="2234"/>
      <c r="AA39" s="2234"/>
      <c r="AB39" s="2235"/>
      <c r="AC39" s="2236" t="s">
        <v>432</v>
      </c>
      <c r="AD39" s="2233" t="s">
        <v>431</v>
      </c>
      <c r="AE39" s="2234"/>
      <c r="AF39" s="2234"/>
      <c r="AG39" s="2234"/>
      <c r="AH39" s="2234"/>
      <c r="AI39" s="2234"/>
      <c r="AJ39" s="2235"/>
      <c r="AK39" s="2236" t="s">
        <v>433</v>
      </c>
      <c r="AL39" s="2239" t="s">
        <v>434</v>
      </c>
      <c r="AM39" s="2091"/>
      <c r="AS39" s="1558">
        <v>14</v>
      </c>
    </row>
    <row r="40" spans="1:45" ht="35.65" customHeight="1">
      <c r="Q40" s="313"/>
      <c r="R40" s="313"/>
      <c r="S40" s="2232"/>
      <c r="T40" s="2180"/>
      <c r="U40" s="961"/>
      <c r="V40" s="2150" t="s">
        <v>435</v>
      </c>
      <c r="W40" s="2228" t="s">
        <v>436</v>
      </c>
      <c r="X40" s="2073" t="s">
        <v>437</v>
      </c>
      <c r="Y40" s="2072"/>
      <c r="Z40" s="2073" t="s">
        <v>451</v>
      </c>
      <c r="AA40" s="2078"/>
      <c r="AB40" s="2072"/>
      <c r="AC40" s="2237"/>
      <c r="AD40" s="2150" t="s">
        <v>435</v>
      </c>
      <c r="AE40" s="2228" t="s">
        <v>436</v>
      </c>
      <c r="AF40" s="2073" t="s">
        <v>437</v>
      </c>
      <c r="AG40" s="2072"/>
      <c r="AH40" s="2073" t="s">
        <v>438</v>
      </c>
      <c r="AI40" s="2078"/>
      <c r="AJ40" s="2072"/>
      <c r="AK40" s="2237"/>
      <c r="AL40" s="2240"/>
      <c r="AM40" s="2091"/>
      <c r="AS40" s="1558">
        <v>34</v>
      </c>
    </row>
    <row r="41" spans="1:45" ht="35.65" customHeight="1">
      <c r="A41" s="1193"/>
      <c r="B41" s="1193" t="s">
        <v>139</v>
      </c>
      <c r="C41" s="1193" t="s">
        <v>140</v>
      </c>
      <c r="D41" s="1193" t="s">
        <v>141</v>
      </c>
      <c r="E41" s="1237" t="s">
        <v>439</v>
      </c>
      <c r="F41" s="1237" t="s">
        <v>440</v>
      </c>
      <c r="G41" s="1237" t="s">
        <v>441</v>
      </c>
      <c r="H41" s="1237" t="s">
        <v>442</v>
      </c>
      <c r="I41" s="1237" t="s">
        <v>443</v>
      </c>
      <c r="J41" s="1237" t="s">
        <v>444</v>
      </c>
      <c r="K41" s="1237" t="s">
        <v>445</v>
      </c>
      <c r="L41" s="1237" t="s">
        <v>420</v>
      </c>
      <c r="Q41" s="313"/>
      <c r="R41" s="313"/>
      <c r="S41" s="2232"/>
      <c r="T41" s="2180"/>
      <c r="U41" s="239"/>
      <c r="V41" s="2205"/>
      <c r="W41" s="2229"/>
      <c r="X41" s="1861" t="s">
        <v>446</v>
      </c>
      <c r="Y41" s="1861" t="s">
        <v>447</v>
      </c>
      <c r="Z41" s="1861" t="s">
        <v>448</v>
      </c>
      <c r="AA41" s="2185" t="s">
        <v>449</v>
      </c>
      <c r="AB41" s="2199"/>
      <c r="AC41" s="2238"/>
      <c r="AD41" s="2205"/>
      <c r="AE41" s="2229"/>
      <c r="AF41" s="1861" t="s">
        <v>446</v>
      </c>
      <c r="AG41" s="1861" t="s">
        <v>447</v>
      </c>
      <c r="AH41" s="1861" t="s">
        <v>448</v>
      </c>
      <c r="AI41" s="2185" t="s">
        <v>449</v>
      </c>
      <c r="AJ41" s="2199"/>
      <c r="AK41" s="2238"/>
      <c r="AL41" s="2241"/>
      <c r="AM41" s="2091"/>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30">
        <f ca="1">OFFSET(AA42,0,-1)+1</f>
        <v>4</v>
      </c>
      <c r="AB42" s="2230"/>
      <c r="AC42" s="1879">
        <f ca="1">OFFSET(AC42,0,-2)+1</f>
        <v>5</v>
      </c>
      <c r="AD42" s="1879">
        <f ca="1">OFFSET(AD42,0,-1)+1</f>
        <v>6</v>
      </c>
      <c r="AE42" s="1879"/>
      <c r="AF42" s="1879">
        <f ca="1">OFFSET(AF42,0,-1)+1</f>
        <v>1</v>
      </c>
      <c r="AG42" s="1879">
        <f ca="1">OFFSET(AG42,0,-1)+1</f>
        <v>2</v>
      </c>
      <c r="AH42" s="1879">
        <f ca="1">OFFSET(AH42,0,-1)+1</f>
        <v>3</v>
      </c>
      <c r="AI42" s="2230">
        <f ca="1">OFFSET(AI42,0,-1)+1</f>
        <v>4</v>
      </c>
      <c r="AJ42" s="2230"/>
      <c r="AK42" s="1879">
        <f ca="1">OFFSET(AK42,0,-2)+1</f>
        <v>5</v>
      </c>
      <c r="AL42" s="1172">
        <f ca="1">OFFSET(AL42,0,-1)</f>
        <v>5</v>
      </c>
      <c r="AM42" s="1879">
        <f ca="1">OFFSET(AM42,0,-1)+1</f>
        <v>6</v>
      </c>
      <c r="AN42" s="1563"/>
      <c r="AO42" s="1563"/>
      <c r="AP42" s="1563"/>
      <c r="AQ42" s="1563"/>
      <c r="AR42" s="1563"/>
      <c r="AS42" s="1568">
        <v>0</v>
      </c>
    </row>
    <row r="43" spans="1:45" ht="21.95" customHeight="1">
      <c r="A43" s="1194" t="s">
        <v>214</v>
      </c>
      <c r="B43" s="1194"/>
      <c r="C43" s="1194"/>
      <c r="D43" s="1194"/>
      <c r="E43" s="224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214</v>
      </c>
      <c r="B44" s="1194" t="s">
        <v>215</v>
      </c>
      <c r="C44" s="1194"/>
      <c r="D44" s="1194"/>
      <c r="E44" s="2246"/>
      <c r="F44" s="2245">
        <v>1</v>
      </c>
      <c r="G44" s="1194"/>
      <c r="H44" s="1194"/>
      <c r="I44" s="1194"/>
      <c r="J44" s="1194"/>
      <c r="K44" s="1194"/>
      <c r="L44" s="1237"/>
      <c r="M44" s="1537"/>
      <c r="N44" s="1537"/>
      <c r="O44" s="1537"/>
      <c r="P44" s="1863"/>
      <c r="Q44" s="289"/>
      <c r="R44" s="290"/>
      <c r="S44" s="1881" t="str">
        <f>INDEX(PT_DIFFERENTIATION_NUM_TER,MATCH(B44,PT_DIFFERENTIATION_TER_ID,0))</f>
        <v>.</v>
      </c>
      <c r="T44" s="1449"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246"/>
      <c r="F45" s="2246"/>
      <c r="G45" s="2245">
        <v>1</v>
      </c>
      <c r="H45" s="1194"/>
      <c r="I45" s="1194"/>
      <c r="J45" s="1194"/>
      <c r="K45" s="1194"/>
      <c r="L45" s="1237"/>
      <c r="M45" s="1537"/>
      <c r="N45" s="1537"/>
      <c r="O45" s="1537"/>
      <c r="P45" s="291"/>
      <c r="Q45" s="289"/>
      <c r="R45" s="290"/>
      <c r="S45" s="1881"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5" t="s">
        <v>402</v>
      </c>
      <c r="AO45" s="1551"/>
      <c r="AP45" s="1551" t="str">
        <f t="shared" si="1"/>
        <v xml:space="preserve">Наименование системы теплоснабжения </v>
      </c>
      <c r="AQ45" s="1551"/>
      <c r="AR45" s="1551"/>
      <c r="AS45" s="1558">
        <v>23</v>
      </c>
    </row>
    <row r="46" spans="1:45" ht="21.95" customHeight="1">
      <c r="A46" s="1194" t="s">
        <v>214</v>
      </c>
      <c r="B46" s="1194" t="s">
        <v>215</v>
      </c>
      <c r="C46" s="1194" t="s">
        <v>216</v>
      </c>
      <c r="D46" s="1194" t="s">
        <v>217</v>
      </c>
      <c r="E46" s="2246"/>
      <c r="F46" s="2246"/>
      <c r="G46" s="2246"/>
      <c r="H46" s="2245">
        <v>1</v>
      </c>
      <c r="I46" s="1194"/>
      <c r="J46" s="1194"/>
      <c r="K46" s="1194"/>
      <c r="L46" s="1237"/>
      <c r="M46" s="1537"/>
      <c r="N46" s="1537"/>
      <c r="O46" s="1537"/>
      <c r="P46" s="291"/>
      <c r="Q46" s="289"/>
      <c r="R46" s="290"/>
      <c r="S46" s="1881"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246"/>
      <c r="F47" s="2246"/>
      <c r="G47" s="2246"/>
      <c r="H47" s="2246"/>
      <c r="I47" s="2091" t="str">
        <f>S46&amp;".1"</f>
        <v>....1</v>
      </c>
      <c r="J47" s="1194"/>
      <c r="K47" s="1194"/>
      <c r="L47" s="1237" t="s">
        <v>405</v>
      </c>
      <c r="P47" s="2223">
        <v>1</v>
      </c>
      <c r="Q47" s="1877"/>
      <c r="R47" s="293"/>
      <c r="S47" s="1881" t="str">
        <f>$I47</f>
        <v>....1</v>
      </c>
      <c r="T47" s="222" t="s">
        <v>406</v>
      </c>
      <c r="U47" s="237"/>
      <c r="V47" s="2207"/>
      <c r="W47" s="2208"/>
      <c r="X47" s="2208"/>
      <c r="Y47" s="2208"/>
      <c r="Z47" s="2208"/>
      <c r="AA47" s="2208"/>
      <c r="AB47" s="2208"/>
      <c r="AC47" s="2209"/>
      <c r="AD47" s="2207"/>
      <c r="AE47" s="2208"/>
      <c r="AF47" s="2208"/>
      <c r="AG47" s="2208"/>
      <c r="AH47" s="2208"/>
      <c r="AI47" s="2208"/>
      <c r="AJ47" s="2208"/>
      <c r="AK47" s="2208"/>
      <c r="AL47" s="2209"/>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214</v>
      </c>
      <c r="B48" s="1194" t="s">
        <v>215</v>
      </c>
      <c r="C48" s="1194" t="s">
        <v>216</v>
      </c>
      <c r="D48" s="1194" t="s">
        <v>217</v>
      </c>
      <c r="E48" s="2246"/>
      <c r="F48" s="2246"/>
      <c r="G48" s="2246"/>
      <c r="H48" s="2246"/>
      <c r="I48" s="2073"/>
      <c r="J48" s="2091" t="str">
        <f>I47&amp;".1"</f>
        <v>....1.1</v>
      </c>
      <c r="K48" s="1194"/>
      <c r="L48" s="1237" t="s">
        <v>408</v>
      </c>
      <c r="P48" s="2223"/>
      <c r="Q48" s="2223">
        <v>1</v>
      </c>
      <c r="R48" s="294"/>
      <c r="S48" s="1881" t="str">
        <f>$J48</f>
        <v>....1.1</v>
      </c>
      <c r="T48" s="223" t="s">
        <v>409</v>
      </c>
      <c r="U48" s="237"/>
      <c r="V48" s="2207"/>
      <c r="W48" s="2208"/>
      <c r="X48" s="2208"/>
      <c r="Y48" s="2208"/>
      <c r="Z48" s="2208"/>
      <c r="AA48" s="2208"/>
      <c r="AB48" s="2208"/>
      <c r="AC48" s="2209"/>
      <c r="AD48" s="2207"/>
      <c r="AE48" s="2208"/>
      <c r="AF48" s="2208"/>
      <c r="AG48" s="2208"/>
      <c r="AH48" s="2208"/>
      <c r="AI48" s="2208"/>
      <c r="AJ48" s="2208"/>
      <c r="AK48" s="2208"/>
      <c r="AL48" s="2209"/>
      <c r="AM48" s="1185" t="s">
        <v>410</v>
      </c>
      <c r="AO48" s="1551"/>
      <c r="AP48" s="1551" t="str">
        <f t="shared" si="1"/>
        <v>Группа потребителей</v>
      </c>
      <c r="AQ48" s="1551"/>
      <c r="AR48" s="1551"/>
      <c r="AS48" s="1558">
        <v>21</v>
      </c>
    </row>
    <row r="49" spans="1:45" ht="21.95" customHeight="1">
      <c r="A49" s="1194" t="s">
        <v>214</v>
      </c>
      <c r="B49" s="1194" t="s">
        <v>215</v>
      </c>
      <c r="C49" s="1194" t="s">
        <v>216</v>
      </c>
      <c r="D49" s="1194" t="s">
        <v>217</v>
      </c>
      <c r="E49" s="2246"/>
      <c r="F49" s="2246"/>
      <c r="G49" s="2246"/>
      <c r="H49" s="2246"/>
      <c r="I49" s="2073"/>
      <c r="J49" s="2073"/>
      <c r="K49" s="2091" t="str">
        <f>J48&amp;".1"</f>
        <v>....1.1.1</v>
      </c>
      <c r="L49" s="1237" t="s">
        <v>411</v>
      </c>
      <c r="P49" s="2223"/>
      <c r="Q49" s="2223"/>
      <c r="R49" s="294">
        <v>1</v>
      </c>
      <c r="S49" s="1881" t="str">
        <f>$K49</f>
        <v>....1.1.1</v>
      </c>
      <c r="T49" s="1274"/>
      <c r="U49" s="237"/>
      <c r="V49" s="688"/>
      <c r="W49" s="262"/>
      <c r="X49" s="688"/>
      <c r="Y49" s="1184"/>
      <c r="Z49" s="2224"/>
      <c r="AA49" s="2102" t="s">
        <v>65</v>
      </c>
      <c r="AB49" s="2224"/>
      <c r="AC49" s="2102" t="s">
        <v>65</v>
      </c>
      <c r="AD49" s="688"/>
      <c r="AE49" s="262"/>
      <c r="AF49" s="688"/>
      <c r="AG49" s="1184"/>
      <c r="AH49" s="2224"/>
      <c r="AI49" s="2102" t="s">
        <v>65</v>
      </c>
      <c r="AJ49" s="2226"/>
      <c r="AK49" s="2102" t="s">
        <v>65</v>
      </c>
      <c r="AL49" s="1275"/>
      <c r="AM49" s="2242" t="s">
        <v>412</v>
      </c>
      <c r="AN49" s="1563" t="e">
        <f ca="1">STRCHECKDATE(V50:AL50)</f>
        <v>#NAME?</v>
      </c>
      <c r="AO49" s="1551"/>
      <c r="AP49" s="1551" t="str">
        <f t="shared" si="1"/>
        <v/>
      </c>
      <c r="AQ49" s="1551"/>
      <c r="AR49" s="1551"/>
      <c r="AS49" s="1558">
        <v>21</v>
      </c>
    </row>
    <row r="50" spans="1:45" ht="1.1499999999999999" customHeight="1">
      <c r="A50" s="1194" t="s">
        <v>214</v>
      </c>
      <c r="B50" s="1194" t="s">
        <v>215</v>
      </c>
      <c r="C50" s="1194" t="s">
        <v>216</v>
      </c>
      <c r="D50" s="1194" t="s">
        <v>217</v>
      </c>
      <c r="E50" s="2246"/>
      <c r="F50" s="2246"/>
      <c r="G50" s="2246"/>
      <c r="H50" s="2246"/>
      <c r="I50" s="2073"/>
      <c r="J50" s="2073"/>
      <c r="K50" s="2091"/>
      <c r="L50" s="1237"/>
      <c r="P50" s="2223"/>
      <c r="Q50" s="2223"/>
      <c r="R50" s="294"/>
      <c r="S50" s="1890"/>
      <c r="T50" s="237"/>
      <c r="U50" s="237"/>
      <c r="V50" s="262"/>
      <c r="W50" s="262"/>
      <c r="X50" s="262"/>
      <c r="Y50" s="265" t="str">
        <f>Z49&amp;"-"&amp;AB49</f>
        <v>-</v>
      </c>
      <c r="Z50" s="2225"/>
      <c r="AA50" s="2102"/>
      <c r="AB50" s="2225"/>
      <c r="AC50" s="2102"/>
      <c r="AD50" s="262"/>
      <c r="AE50" s="262"/>
      <c r="AF50" s="262"/>
      <c r="AG50" s="265" t="str">
        <f>AH49&amp;"-"&amp;AJ49</f>
        <v>-</v>
      </c>
      <c r="AH50" s="2225"/>
      <c r="AI50" s="2102"/>
      <c r="AJ50" s="2227"/>
      <c r="AK50" s="2102"/>
      <c r="AL50" s="1276"/>
      <c r="AM50" s="2243"/>
      <c r="AO50" s="1551"/>
      <c r="AP50" s="1551" t="str">
        <f t="shared" si="1"/>
        <v/>
      </c>
      <c r="AQ50" s="1551"/>
      <c r="AR50" s="1551"/>
      <c r="AS50" s="1558">
        <v>1</v>
      </c>
    </row>
    <row r="51" spans="1:45" ht="11.45" customHeight="1">
      <c r="A51" s="1194" t="s">
        <v>214</v>
      </c>
      <c r="B51" s="1194" t="s">
        <v>215</v>
      </c>
      <c r="C51" s="1194" t="s">
        <v>216</v>
      </c>
      <c r="D51" s="1194" t="s">
        <v>217</v>
      </c>
      <c r="E51" s="2246"/>
      <c r="F51" s="2246"/>
      <c r="G51" s="2246"/>
      <c r="H51" s="2246"/>
      <c r="I51" s="2073"/>
      <c r="J51" s="2091"/>
      <c r="K51" s="1194"/>
      <c r="L51" s="1237"/>
      <c r="P51" s="2223"/>
      <c r="Q51" s="2223"/>
      <c r="R51" s="293"/>
      <c r="S51" s="1205"/>
      <c r="T51" s="225" t="s">
        <v>413</v>
      </c>
      <c r="U51" s="537"/>
      <c r="V51" s="537"/>
      <c r="W51" s="537"/>
      <c r="X51" s="537"/>
      <c r="Y51" s="537"/>
      <c r="Z51" s="537"/>
      <c r="AA51" s="537"/>
      <c r="AB51" s="537"/>
      <c r="AC51" s="537"/>
      <c r="AD51" s="537"/>
      <c r="AE51" s="537"/>
      <c r="AF51" s="537"/>
      <c r="AG51" s="537"/>
      <c r="AH51" s="537"/>
      <c r="AI51" s="537"/>
      <c r="AJ51" s="537"/>
      <c r="AK51" s="537"/>
      <c r="AL51" s="261"/>
      <c r="AM51" s="2244"/>
      <c r="AO51" s="1551"/>
      <c r="AP51" s="1551" t="str">
        <f t="shared" si="1"/>
        <v>Добавить вид теплоносителя (параметры теплоносителя)</v>
      </c>
      <c r="AQ51" s="1551"/>
      <c r="AR51" s="1551"/>
      <c r="AS51" s="1558">
        <v>11</v>
      </c>
    </row>
    <row r="52" spans="1:45" ht="11.45" customHeight="1">
      <c r="A52" s="1194" t="s">
        <v>214</v>
      </c>
      <c r="B52" s="1194" t="s">
        <v>215</v>
      </c>
      <c r="C52" s="1194" t="s">
        <v>216</v>
      </c>
      <c r="D52" s="1194" t="s">
        <v>217</v>
      </c>
      <c r="E52" s="2246"/>
      <c r="F52" s="2246"/>
      <c r="G52" s="2246"/>
      <c r="H52" s="2246"/>
      <c r="I52" s="2091"/>
      <c r="J52" s="1194"/>
      <c r="K52" s="1194"/>
      <c r="L52" s="1237"/>
      <c r="P52" s="2223"/>
      <c r="Q52" s="1877"/>
      <c r="R52" s="293"/>
      <c r="S52" s="1205"/>
      <c r="T52" s="224" t="s">
        <v>414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214</v>
      </c>
      <c r="B53" s="1194" t="s">
        <v>215</v>
      </c>
      <c r="C53" s="1194" t="s">
        <v>216</v>
      </c>
      <c r="D53" s="1194" t="s">
        <v>217</v>
      </c>
      <c r="E53" s="2246"/>
      <c r="F53" s="2246"/>
      <c r="G53" s="2246"/>
      <c r="H53" s="2245"/>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214</v>
      </c>
      <c r="B54" s="1302" t="s">
        <v>215</v>
      </c>
      <c r="C54" s="1302" t="s">
        <v>216</v>
      </c>
      <c r="D54" s="1301"/>
      <c r="E54" s="2246"/>
      <c r="F54" s="2246"/>
      <c r="G54" s="2245"/>
      <c r="H54" s="1301"/>
      <c r="I54" s="1301"/>
      <c r="J54" s="1301"/>
      <c r="K54" s="1301"/>
      <c r="L54" s="1304"/>
      <c r="M54" s="1305"/>
      <c r="N54" s="1305"/>
      <c r="O54" s="288"/>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214</v>
      </c>
      <c r="B55" s="1302" t="s">
        <v>215</v>
      </c>
      <c r="C55" s="1301"/>
      <c r="D55" s="1301"/>
      <c r="E55" s="2246"/>
      <c r="F55" s="2245"/>
      <c r="G55" s="1301"/>
      <c r="H55" s="1301"/>
      <c r="I55" s="1301"/>
      <c r="J55" s="1301"/>
      <c r="K55" s="1301"/>
      <c r="L55" s="1304"/>
      <c r="M55" s="1306"/>
      <c r="N55" s="1306"/>
      <c r="O55" s="28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214</v>
      </c>
      <c r="B56" s="1302"/>
      <c r="C56" s="1302"/>
      <c r="D56" s="1302"/>
      <c r="E56" s="2245"/>
      <c r="F56" s="1302"/>
      <c r="G56" s="1302"/>
      <c r="H56" s="1302"/>
      <c r="I56" s="1302"/>
      <c r="J56" s="1302"/>
      <c r="K56" s="1302"/>
      <c r="L56" s="1308"/>
      <c r="M56" s="1306"/>
      <c r="N56" s="1306"/>
      <c r="O56" s="288"/>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558">
        <v>27</v>
      </c>
    </row>
    <row r="60" spans="1:45" ht="65.25" customHeight="1">
      <c r="O60" s="1562"/>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558">
        <v>62</v>
      </c>
    </row>
    <row r="61" spans="1:45" ht="14.65" customHeight="1">
      <c r="O61" s="1562"/>
      <c r="AS61" s="1558">
        <v>14</v>
      </c>
    </row>
    <row r="62" spans="1:45" ht="18.75" customHeight="1">
      <c r="O62" s="1562"/>
      <c r="S62" s="1180"/>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558">
        <v>18</v>
      </c>
    </row>
    <row r="63" spans="1:45" ht="18.75" customHeight="1">
      <c r="O63" s="1562"/>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558">
        <v>18</v>
      </c>
    </row>
    <row r="64" spans="1:45" ht="29.25" customHeight="1">
      <c r="O64" s="1562"/>
      <c r="S64" s="1180"/>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45">
        <v>1</v>
      </c>
      <c r="F2" s="1194"/>
      <c r="G2" s="1194"/>
      <c r="H2" s="1194"/>
      <c r="I2" s="1194"/>
      <c r="J2" s="1194"/>
      <c r="K2" s="1194"/>
      <c r="L2" s="1237"/>
      <c r="M2" s="1537"/>
      <c r="N2" s="1537"/>
      <c r="O2" s="1537"/>
      <c r="P2" s="1517"/>
      <c r="Q2" s="297"/>
      <c r="R2" s="292"/>
      <c r="S2" s="1881" t="e">
        <f>INDEX(PT_DIFFERENTIATION_NUM_NTAR,MATCH(A2,PT_DIFFERENTIATION_NTAR_ID,0))</f>
        <v>#N/A</v>
      </c>
      <c r="T2" s="1452"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5" t="s">
        <v>398</v>
      </c>
      <c r="AO2" s="1551"/>
      <c r="AP2" s="1551" t="str">
        <f t="shared" ref="AP2:AP15" si="0">IF(T2="","",T2)</f>
        <v>Наименование тарифа</v>
      </c>
      <c r="AQ2" s="1551"/>
      <c r="AR2" s="1551"/>
      <c r="AS2" s="1558">
        <v>0</v>
      </c>
    </row>
    <row r="3" spans="1:45" ht="21" hidden="1" customHeight="1">
      <c r="A3" s="1194"/>
      <c r="B3" s="1194"/>
      <c r="C3" s="1194"/>
      <c r="D3" s="1194"/>
      <c r="E3" s="2246"/>
      <c r="F3" s="2245">
        <v>1</v>
      </c>
      <c r="G3" s="1194"/>
      <c r="H3" s="1194"/>
      <c r="I3" s="1194"/>
      <c r="J3" s="1194"/>
      <c r="K3" s="1194"/>
      <c r="L3" s="1237"/>
      <c r="M3" s="1537"/>
      <c r="N3" s="1537"/>
      <c r="O3" s="1537"/>
      <c r="P3" s="1863"/>
      <c r="Q3" s="289"/>
      <c r="R3" s="290"/>
      <c r="S3" s="1881" t="e">
        <f>INDEX(PT_DIFFERENTIATION_NUM_TER,MATCH(B3,PT_DIFFERENTIATION_TER_ID,0))</f>
        <v>#N/A</v>
      </c>
      <c r="T3" s="1449"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5" t="s">
        <v>400</v>
      </c>
      <c r="AO3" s="1551"/>
      <c r="AP3" s="1551" t="str">
        <f t="shared" si="0"/>
        <v>Территория действия тарифа</v>
      </c>
      <c r="AQ3" s="1551"/>
      <c r="AR3" s="1551"/>
      <c r="AS3" s="1558">
        <v>0</v>
      </c>
    </row>
    <row r="4" spans="1:45" ht="23.25" hidden="1" customHeight="1">
      <c r="A4" s="1194"/>
      <c r="B4" s="1194"/>
      <c r="C4" s="1194"/>
      <c r="D4" s="1194"/>
      <c r="E4" s="2246"/>
      <c r="F4" s="2246"/>
      <c r="G4" s="2245">
        <v>1</v>
      </c>
      <c r="H4" s="1194"/>
      <c r="I4" s="1194"/>
      <c r="J4" s="1194"/>
      <c r="K4" s="1194"/>
      <c r="L4" s="1237"/>
      <c r="M4" s="1537"/>
      <c r="N4" s="1537"/>
      <c r="O4" s="1537"/>
      <c r="P4" s="291"/>
      <c r="Q4" s="289"/>
      <c r="R4" s="290"/>
      <c r="S4" s="1881"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5" t="s">
        <v>402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46"/>
      <c r="F5" s="2246"/>
      <c r="G5" s="2246"/>
      <c r="H5" s="2245">
        <v>1</v>
      </c>
      <c r="I5" s="1194"/>
      <c r="J5" s="1194"/>
      <c r="K5" s="1194"/>
      <c r="L5" s="1237"/>
      <c r="M5" s="1537"/>
      <c r="N5" s="1537"/>
      <c r="O5" s="1537"/>
      <c r="P5" s="291"/>
      <c r="Q5" s="289"/>
      <c r="R5" s="290"/>
      <c r="S5" s="1881"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5" t="s">
        <v>404</v>
      </c>
      <c r="AO5" s="1551"/>
      <c r="AP5" s="1551" t="str">
        <f t="shared" si="0"/>
        <v xml:space="preserve">Источник тепловой энергии  </v>
      </c>
      <c r="AQ5" s="1551"/>
      <c r="AR5" s="1551"/>
      <c r="AS5" s="1558">
        <v>0</v>
      </c>
    </row>
    <row r="6" spans="1:45" ht="47.25" hidden="1" customHeight="1">
      <c r="A6" s="1194"/>
      <c r="B6" s="1194"/>
      <c r="C6" s="1194"/>
      <c r="D6" s="1194"/>
      <c r="E6" s="2246"/>
      <c r="F6" s="2246"/>
      <c r="G6" s="2246"/>
      <c r="H6" s="2246"/>
      <c r="I6" s="2091" t="e">
        <f>S5&amp;".1"</f>
        <v>#N/A</v>
      </c>
      <c r="J6" s="1194"/>
      <c r="K6" s="1194"/>
      <c r="L6" s="1237" t="s">
        <v>405</v>
      </c>
      <c r="M6" s="1562"/>
      <c r="P6" s="2223">
        <v>1</v>
      </c>
      <c r="Q6" s="1877"/>
      <c r="R6" s="293"/>
      <c r="S6" s="1881" t="e">
        <f>$I6</f>
        <v>#N/A</v>
      </c>
      <c r="T6" s="222" t="s">
        <v>406</v>
      </c>
      <c r="U6" s="237"/>
      <c r="V6" s="2207"/>
      <c r="W6" s="2208"/>
      <c r="X6" s="2208"/>
      <c r="Y6" s="2208"/>
      <c r="Z6" s="2208"/>
      <c r="AA6" s="2208"/>
      <c r="AB6" s="2208"/>
      <c r="AC6" s="2209"/>
      <c r="AD6" s="2207"/>
      <c r="AE6" s="2208"/>
      <c r="AF6" s="2208"/>
      <c r="AG6" s="2208"/>
      <c r="AH6" s="2208"/>
      <c r="AI6" s="2208"/>
      <c r="AJ6" s="2208"/>
      <c r="AK6" s="2208"/>
      <c r="AL6" s="2209"/>
      <c r="AM6" s="1185" t="s">
        <v>407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46"/>
      <c r="F7" s="2246"/>
      <c r="G7" s="2246"/>
      <c r="H7" s="2246"/>
      <c r="I7" s="2073"/>
      <c r="J7" s="2091" t="e">
        <f>I6&amp;".1"</f>
        <v>#N/A</v>
      </c>
      <c r="K7" s="1194"/>
      <c r="L7" s="1237" t="s">
        <v>408</v>
      </c>
      <c r="M7" s="1562"/>
      <c r="N7" s="1558"/>
      <c r="P7" s="2223"/>
      <c r="Q7" s="2223">
        <v>1</v>
      </c>
      <c r="R7" s="294"/>
      <c r="S7" s="1881" t="e">
        <f>$J7</f>
        <v>#N/A</v>
      </c>
      <c r="T7" s="223" t="s">
        <v>409</v>
      </c>
      <c r="U7" s="237"/>
      <c r="V7" s="2207"/>
      <c r="W7" s="2208"/>
      <c r="X7" s="2208"/>
      <c r="Y7" s="2208"/>
      <c r="Z7" s="2208"/>
      <c r="AA7" s="2208"/>
      <c r="AB7" s="2208"/>
      <c r="AC7" s="2209"/>
      <c r="AD7" s="2207"/>
      <c r="AE7" s="2208"/>
      <c r="AF7" s="2208"/>
      <c r="AG7" s="2208"/>
      <c r="AH7" s="2208"/>
      <c r="AI7" s="2208"/>
      <c r="AJ7" s="2208"/>
      <c r="AK7" s="2208"/>
      <c r="AL7" s="2209"/>
      <c r="AM7" s="1185" t="s">
        <v>410</v>
      </c>
      <c r="AO7" s="1551"/>
      <c r="AP7" s="1551" t="str">
        <f t="shared" si="0"/>
        <v>Группа потребителей</v>
      </c>
      <c r="AQ7" s="1551"/>
      <c r="AR7" s="1551"/>
      <c r="AS7" s="1558">
        <v>0</v>
      </c>
    </row>
    <row r="8" spans="1:45" ht="21" hidden="1" customHeight="1">
      <c r="A8" s="1194"/>
      <c r="B8" s="1194"/>
      <c r="C8" s="1194"/>
      <c r="D8" s="1194"/>
      <c r="E8" s="2246"/>
      <c r="F8" s="2246"/>
      <c r="G8" s="2246"/>
      <c r="H8" s="2246"/>
      <c r="I8" s="2073"/>
      <c r="J8" s="2073"/>
      <c r="K8" s="2091" t="e">
        <f>J7&amp;".1"</f>
        <v>#N/A</v>
      </c>
      <c r="L8" s="1237" t="s">
        <v>411</v>
      </c>
      <c r="M8" s="1562"/>
      <c r="N8" s="1558"/>
      <c r="O8" s="1558"/>
      <c r="P8" s="2223"/>
      <c r="Q8" s="2223"/>
      <c r="R8" s="294">
        <v>1</v>
      </c>
      <c r="S8" s="1881" t="e">
        <f>$K8</f>
        <v>#N/A</v>
      </c>
      <c r="T8" s="1274"/>
      <c r="U8" s="237"/>
      <c r="V8" s="688"/>
      <c r="W8" s="262"/>
      <c r="X8" s="688"/>
      <c r="Y8" s="1184"/>
      <c r="Z8" s="2224"/>
      <c r="AA8" s="2102" t="s">
        <v>65</v>
      </c>
      <c r="AB8" s="2224"/>
      <c r="AC8" s="2102" t="s">
        <v>65</v>
      </c>
      <c r="AD8" s="688"/>
      <c r="AE8" s="262"/>
      <c r="AF8" s="688"/>
      <c r="AG8" s="1184"/>
      <c r="AH8" s="2224"/>
      <c r="AI8" s="2102" t="s">
        <v>65</v>
      </c>
      <c r="AJ8" s="2224"/>
      <c r="AK8" s="2102" t="s">
        <v>65</v>
      </c>
      <c r="AL8" s="262"/>
      <c r="AM8" s="2242" t="s">
        <v>412</v>
      </c>
      <c r="AN8" s="1563" t="e">
        <f ca="1">STRCHECKDATE(V9:AL9)</f>
        <v>#NAME?</v>
      </c>
      <c r="AO8" s="1551"/>
      <c r="AP8" s="1551" t="str">
        <f t="shared" si="0"/>
        <v/>
      </c>
      <c r="AQ8" s="1551"/>
      <c r="AR8" s="1551"/>
      <c r="AS8" s="1558">
        <v>0</v>
      </c>
    </row>
    <row r="9" spans="1:45" ht="0.75" hidden="1" customHeight="1">
      <c r="A9" s="1194"/>
      <c r="B9" s="1194"/>
      <c r="C9" s="1194"/>
      <c r="D9" s="1194"/>
      <c r="E9" s="2246"/>
      <c r="F9" s="2246"/>
      <c r="G9" s="2246"/>
      <c r="H9" s="2246"/>
      <c r="I9" s="2073"/>
      <c r="J9" s="2073"/>
      <c r="K9" s="2091"/>
      <c r="L9" s="1237"/>
      <c r="M9" s="1562"/>
      <c r="N9" s="1558"/>
      <c r="O9" s="1558"/>
      <c r="P9" s="2223"/>
      <c r="Q9" s="2223"/>
      <c r="R9" s="294"/>
      <c r="S9" s="1890"/>
      <c r="T9" s="237"/>
      <c r="U9" s="237"/>
      <c r="V9" s="262"/>
      <c r="W9" s="262"/>
      <c r="X9" s="262"/>
      <c r="Y9" s="265" t="str">
        <f>Z8&amp;"-"&amp;AB8</f>
        <v>-</v>
      </c>
      <c r="Z9" s="2225"/>
      <c r="AA9" s="2102"/>
      <c r="AB9" s="2225"/>
      <c r="AC9" s="2102"/>
      <c r="AD9" s="262"/>
      <c r="AE9" s="262"/>
      <c r="AF9" s="262"/>
      <c r="AG9" s="265" t="str">
        <f>AH8&amp;"-"&amp;AJ8</f>
        <v>-</v>
      </c>
      <c r="AH9" s="2225"/>
      <c r="AI9" s="2102"/>
      <c r="AJ9" s="2225"/>
      <c r="AK9" s="2102"/>
      <c r="AL9" s="262"/>
      <c r="AM9" s="2243"/>
      <c r="AO9" s="1551"/>
      <c r="AP9" s="1551" t="str">
        <f t="shared" si="0"/>
        <v/>
      </c>
      <c r="AQ9" s="1551"/>
      <c r="AR9" s="1551"/>
      <c r="AS9" s="1558">
        <v>0</v>
      </c>
    </row>
    <row r="10" spans="1:45" ht="15" hidden="1" customHeight="1">
      <c r="A10" s="1194"/>
      <c r="B10" s="1194"/>
      <c r="C10" s="1194"/>
      <c r="D10" s="1194"/>
      <c r="E10" s="2246"/>
      <c r="F10" s="2246"/>
      <c r="G10" s="2246"/>
      <c r="H10" s="2246"/>
      <c r="I10" s="2073"/>
      <c r="J10" s="2091"/>
      <c r="K10" s="1194"/>
      <c r="L10" s="1237"/>
      <c r="M10" s="1562"/>
      <c r="N10" s="1558"/>
      <c r="P10" s="2223"/>
      <c r="Q10" s="2223"/>
      <c r="R10" s="293"/>
      <c r="S10" s="1205"/>
      <c r="T10" s="225" t="s">
        <v>413</v>
      </c>
      <c r="U10" s="537"/>
      <c r="V10" s="537"/>
      <c r="W10" s="537"/>
      <c r="X10" s="537"/>
      <c r="Y10" s="537"/>
      <c r="Z10" s="537"/>
      <c r="AA10" s="537"/>
      <c r="AB10" s="537"/>
      <c r="AC10" s="537"/>
      <c r="AD10" s="537"/>
      <c r="AE10" s="537"/>
      <c r="AF10" s="537"/>
      <c r="AG10" s="537"/>
      <c r="AH10" s="537"/>
      <c r="AI10" s="537"/>
      <c r="AJ10" s="537"/>
      <c r="AK10" s="537"/>
      <c r="AL10" s="261"/>
      <c r="AM10" s="224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46"/>
      <c r="F11" s="2246"/>
      <c r="G11" s="2246"/>
      <c r="H11" s="2246"/>
      <c r="I11" s="2091"/>
      <c r="J11" s="1194"/>
      <c r="K11" s="1194"/>
      <c r="L11" s="1237"/>
      <c r="M11" s="1562"/>
      <c r="P11" s="2223"/>
      <c r="Q11" s="1877"/>
      <c r="R11" s="293"/>
      <c r="S11" s="1205"/>
      <c r="T11" s="224" t="s">
        <v>414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46"/>
      <c r="F12" s="2246"/>
      <c r="G12" s="2246"/>
      <c r="H12" s="2245"/>
      <c r="I12" s="1194"/>
      <c r="J12" s="1194"/>
      <c r="K12" s="1194"/>
      <c r="L12" s="1237"/>
      <c r="M12" s="1537"/>
      <c r="N12" s="1537"/>
      <c r="O12" s="1562"/>
      <c r="P12" s="297"/>
      <c r="Q12" s="312"/>
      <c r="R12" s="292"/>
      <c r="S12" s="1205"/>
      <c r="T12" s="302" t="s">
        <v>415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46"/>
      <c r="F13" s="2246"/>
      <c r="G13" s="2245"/>
      <c r="H13" s="1897"/>
      <c r="I13" s="1897"/>
      <c r="J13" s="1897"/>
      <c r="K13" s="1897"/>
      <c r="L13" s="1307"/>
      <c r="M13" s="1537"/>
      <c r="N13" s="1537"/>
      <c r="O13" s="156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46"/>
      <c r="F14" s="2245"/>
      <c r="G14" s="1897"/>
      <c r="H14" s="1897"/>
      <c r="I14" s="1897"/>
      <c r="J14" s="1897"/>
      <c r="K14" s="1897"/>
      <c r="L14" s="1307"/>
      <c r="M14" s="1898"/>
      <c r="N14" s="1898"/>
      <c r="O14" s="1562"/>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45"/>
      <c r="F15" s="1897"/>
      <c r="G15" s="1897"/>
      <c r="H15" s="1897"/>
      <c r="I15" s="1897"/>
      <c r="J15" s="1897"/>
      <c r="K15" s="1897"/>
      <c r="L15" s="1307"/>
      <c r="M15" s="1898"/>
      <c r="N15" s="1898"/>
      <c r="O15" s="1562"/>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17"/>
      <c r="AI17" s="2216" t="s">
        <v>65</v>
      </c>
      <c r="AJ17" s="2217"/>
      <c r="AK17" s="2216" t="s">
        <v>65</v>
      </c>
      <c r="AS17" s="1558">
        <v>0</v>
      </c>
    </row>
    <row r="18" spans="1:45" ht="14.25" hidden="1" customHeight="1">
      <c r="AD18" s="1287"/>
      <c r="AE18" s="1287"/>
      <c r="AF18" s="1287"/>
      <c r="AG18" s="265" t="str">
        <f>AH17&amp;"-"&amp;AJ17</f>
        <v>-</v>
      </c>
      <c r="AH18" s="2216"/>
      <c r="AI18" s="2216"/>
      <c r="AJ18" s="2216"/>
      <c r="AK18" s="221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0"/>
      <c r="U26" s="2200"/>
      <c r="V26" s="2200"/>
      <c r="W26" s="2200"/>
      <c r="X26" s="2200"/>
      <c r="Y26" s="2200"/>
      <c r="Z26" s="2200"/>
      <c r="AA26" s="2200"/>
      <c r="AB26" s="2200"/>
      <c r="AC26" s="2200"/>
      <c r="AD26" s="2200"/>
      <c r="AE26" s="2200"/>
      <c r="AF26" s="2200"/>
      <c r="AG26" s="2200"/>
      <c r="AH26" s="2200"/>
      <c r="AI26" s="2200"/>
      <c r="AJ26" s="2200"/>
      <c r="AK26" s="1170"/>
      <c r="AS26" s="1558">
        <v>14</v>
      </c>
    </row>
    <row r="27" spans="1:45" ht="14.65" customHeight="1">
      <c r="Q27" s="313"/>
      <c r="R27" s="313"/>
      <c r="S27" s="2172" t="str">
        <f>IF(org=0,"Не определено",org)</f>
        <v>МУП "Михайловское водопроводно-канализационное хозяйство"</v>
      </c>
      <c r="T27" s="2172"/>
      <c r="U27" s="2172"/>
      <c r="V27" s="2172"/>
      <c r="W27" s="2172"/>
      <c r="X27" s="2172"/>
      <c r="Y27" s="2172"/>
      <c r="Z27" s="2172"/>
      <c r="AA27" s="2172"/>
      <c r="AB27" s="2172"/>
      <c r="AC27" s="2172"/>
      <c r="AD27" s="2172"/>
      <c r="AE27" s="2172"/>
      <c r="AF27" s="2172"/>
      <c r="AG27" s="2172"/>
      <c r="AH27" s="2172"/>
      <c r="AI27" s="2172"/>
      <c r="AJ27" s="2172"/>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10" t="s">
        <v>42</v>
      </c>
      <c r="T29" s="2210"/>
      <c r="U29" s="1299"/>
      <c r="V29" s="2212" t="str">
        <f>IF(TITLE_NAME_OR_PR_CHANGE="",IF(TITLE_NAME_OR_PR="","",TITLE_NAME_OR_PR),TITLE_NAME_OR_PR_CHANGE)</f>
        <v/>
      </c>
      <c r="W29" s="2212"/>
      <c r="X29" s="2212"/>
      <c r="Y29" s="2212"/>
      <c r="Z29" s="2212"/>
      <c r="AA29" s="2212"/>
      <c r="AB29" s="2212"/>
      <c r="AC29" s="1562"/>
      <c r="AD29" s="2212" t="str">
        <f>IF(TITLE_NAME_OR_PR_CHANGE="",IF(TITLE_NAME_OR_PR="","",TITLE_NAME_OR_PR),TITLE_NAME_OR_PR_CHANGE)</f>
        <v/>
      </c>
      <c r="AE29" s="2212"/>
      <c r="AF29" s="2212"/>
      <c r="AG29" s="2212"/>
      <c r="AH29" s="2212"/>
      <c r="AI29" s="2212"/>
      <c r="AJ29" s="221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10" t="s">
        <v>425</v>
      </c>
      <c r="T30" s="2210"/>
      <c r="U30" s="1299"/>
      <c r="V30" s="2211" t="str">
        <f>IF(TITLE_DATE_PR_CHANGE="",IF(TITLE_DATE_PR="","",TITLE_DATE_PR),TITLE_DATE_PR_CHANGE)</f>
        <v/>
      </c>
      <c r="W30" s="2211"/>
      <c r="X30" s="2211"/>
      <c r="Y30" s="2211"/>
      <c r="Z30" s="2211"/>
      <c r="AA30" s="2211"/>
      <c r="AB30" s="2211"/>
      <c r="AC30" s="1562"/>
      <c r="AD30" s="2211" t="str">
        <f>IF(TITLE_DATE_PR_CHANGE="",IF(TITLE_DATE_PR="","",TITLE_DATE_PR),TITLE_DATE_PR_CHANGE)</f>
        <v/>
      </c>
      <c r="AE30" s="2211"/>
      <c r="AF30" s="2211"/>
      <c r="AG30" s="2211"/>
      <c r="AH30" s="2211"/>
      <c r="AI30" s="2211"/>
      <c r="AJ30" s="221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10" t="s">
        <v>426</v>
      </c>
      <c r="T31" s="2210"/>
      <c r="U31" s="1299"/>
      <c r="V31" s="2212" t="str">
        <f>IF(TITLE_NUMBER_PR_CHANGE="",IF(TITLE_NUMBER_PR="","",TITLE_NUMBER_PR),TITLE_NUMBER_PR_CHANGE)</f>
        <v/>
      </c>
      <c r="W31" s="2212"/>
      <c r="X31" s="2212"/>
      <c r="Y31" s="2212"/>
      <c r="Z31" s="2212"/>
      <c r="AA31" s="2212"/>
      <c r="AB31" s="2212"/>
      <c r="AC31" s="1562"/>
      <c r="AD31" s="2212" t="str">
        <f>IF(TITLE_NUMBER_PR_CHANGE="",IF(TITLE_NUMBER_PR="","",TITLE_NUMBER_PR),TITLE_NUMBER_PR_CHANGE)</f>
        <v/>
      </c>
      <c r="AE31" s="2212"/>
      <c r="AF31" s="2212"/>
      <c r="AG31" s="2212"/>
      <c r="AH31" s="2212"/>
      <c r="AI31" s="2212"/>
      <c r="AJ31" s="221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10" t="s">
        <v>43</v>
      </c>
      <c r="T32" s="2210"/>
      <c r="U32" s="1299"/>
      <c r="V32" s="2212" t="str">
        <f>IF(TITLE_IST_PUB_CHANGE="",IF(TITLE_IST_PUB="","",TITLE_IST_PUB),TITLE_IST_PUB_CHANGE)</f>
        <v/>
      </c>
      <c r="W32" s="2212"/>
      <c r="X32" s="2212"/>
      <c r="Y32" s="2212"/>
      <c r="Z32" s="2212"/>
      <c r="AA32" s="2212"/>
      <c r="AB32" s="2212"/>
      <c r="AC32" s="1562"/>
      <c r="AD32" s="2212" t="str">
        <f>IF(TITLE_IST_PUB_CHANGE="",IF(TITLE_IST_PUB="","",TITLE_IST_PUB),TITLE_IST_PUB_CHANGE)</f>
        <v/>
      </c>
      <c r="AE32" s="2212"/>
      <c r="AF32" s="2212"/>
      <c r="AG32" s="2212"/>
      <c r="AH32" s="2212"/>
      <c r="AI32" s="2212"/>
      <c r="AJ32" s="221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10" t="s">
        <v>427</v>
      </c>
      <c r="T34" s="2210"/>
      <c r="U34" s="1299"/>
      <c r="V34" s="2211" t="str">
        <f>IF(TITLE_DATE_PR_CHANGE="",IF(TITLE_DATE_PR="","",TITLE_DATE_PR),TITLE_DATE_PR_CHANGE)</f>
        <v/>
      </c>
      <c r="W34" s="2211"/>
      <c r="X34" s="2211"/>
      <c r="Y34" s="2211"/>
      <c r="Z34" s="2211"/>
      <c r="AA34" s="2211"/>
      <c r="AB34" s="2211"/>
      <c r="AC34" s="1562"/>
      <c r="AD34" s="2211" t="str">
        <f>IF(TITLE_DATE_PR_CHANGE="",IF(TITLE_DATE_PR="","",TITLE_DATE_PR),TITLE_DATE_PR_CHANGE)</f>
        <v/>
      </c>
      <c r="AE34" s="2211"/>
      <c r="AF34" s="2211"/>
      <c r="AG34" s="2211"/>
      <c r="AH34" s="2211"/>
      <c r="AI34" s="2211"/>
      <c r="AJ34" s="221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10" t="s">
        <v>428</v>
      </c>
      <c r="T35" s="2210"/>
      <c r="U35" s="1299"/>
      <c r="V35" s="2212" t="str">
        <f>IF(TITLE_NUMBER_PR_CHANGE="",IF(TITLE_NUMBER_PR="","",TITLE_NUMBER_PR),TITLE_NUMBER_PR_CHANGE)</f>
        <v/>
      </c>
      <c r="W35" s="2212"/>
      <c r="X35" s="2212"/>
      <c r="Y35" s="2212"/>
      <c r="Z35" s="2212"/>
      <c r="AA35" s="2212"/>
      <c r="AB35" s="2212"/>
      <c r="AC35" s="1562"/>
      <c r="AD35" s="2212" t="str">
        <f>IF(TITLE_NUMBER_PR_CHANGE="",IF(TITLE_NUMBER_PR="","",TITLE_NUMBER_PR),TITLE_NUMBER_PR_CHANGE)</f>
        <v/>
      </c>
      <c r="AE35" s="2212"/>
      <c r="AF35" s="2212"/>
      <c r="AG35" s="2212"/>
      <c r="AH35" s="2212"/>
      <c r="AI35" s="2212"/>
      <c r="AJ35" s="221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31"/>
      <c r="W37" s="2231"/>
      <c r="X37" s="2231"/>
      <c r="Y37" s="2231"/>
      <c r="Z37" s="2231"/>
      <c r="AA37" s="2231"/>
      <c r="AB37" s="2231"/>
      <c r="AC37" s="2231"/>
      <c r="AD37" s="2231"/>
      <c r="AE37" s="2231"/>
      <c r="AF37" s="2231"/>
      <c r="AG37" s="2231"/>
      <c r="AH37" s="2231"/>
      <c r="AI37" s="2231"/>
      <c r="AJ37" s="2231"/>
      <c r="AK37" s="2231"/>
      <c r="AS37" s="1558">
        <v>14</v>
      </c>
    </row>
    <row r="38" spans="1:45" ht="14.65" customHeight="1">
      <c r="Q38" s="313"/>
      <c r="R38" s="313"/>
      <c r="S38" s="2091" t="s">
        <v>302</v>
      </c>
      <c r="T38" s="2091"/>
      <c r="U38" s="2091"/>
      <c r="V38" s="2091"/>
      <c r="W38" s="2091"/>
      <c r="X38" s="2091"/>
      <c r="Y38" s="2091"/>
      <c r="Z38" s="2091"/>
      <c r="AA38" s="2091"/>
      <c r="AB38" s="2091"/>
      <c r="AC38" s="2091"/>
      <c r="AD38" s="2091"/>
      <c r="AE38" s="2091"/>
      <c r="AF38" s="2091"/>
      <c r="AG38" s="2091"/>
      <c r="AH38" s="2091"/>
      <c r="AI38" s="2091"/>
      <c r="AJ38" s="2091"/>
      <c r="AK38" s="2091"/>
      <c r="AL38" s="2091"/>
      <c r="AM38" s="2091" t="s">
        <v>303</v>
      </c>
      <c r="AS38" s="1558">
        <v>14</v>
      </c>
    </row>
    <row r="39" spans="1:45" ht="14.65" customHeight="1">
      <c r="Q39" s="313"/>
      <c r="R39" s="313"/>
      <c r="S39" s="2232" t="s">
        <v>87</v>
      </c>
      <c r="T39" s="2180" t="s">
        <v>430</v>
      </c>
      <c r="U39" s="274"/>
      <c r="V39" s="2233" t="s">
        <v>431</v>
      </c>
      <c r="W39" s="2234"/>
      <c r="X39" s="2234"/>
      <c r="Y39" s="2234"/>
      <c r="Z39" s="2234"/>
      <c r="AA39" s="2234"/>
      <c r="AB39" s="2235"/>
      <c r="AC39" s="2236" t="s">
        <v>432</v>
      </c>
      <c r="AD39" s="2233" t="s">
        <v>431</v>
      </c>
      <c r="AE39" s="2234"/>
      <c r="AF39" s="2234"/>
      <c r="AG39" s="2234"/>
      <c r="AH39" s="2234"/>
      <c r="AI39" s="2234"/>
      <c r="AJ39" s="2235"/>
      <c r="AK39" s="2236" t="s">
        <v>433</v>
      </c>
      <c r="AL39" s="2239" t="s">
        <v>434</v>
      </c>
      <c r="AM39" s="2091"/>
      <c r="AS39" s="1558">
        <v>14</v>
      </c>
    </row>
    <row r="40" spans="1:45" ht="35.65" customHeight="1">
      <c r="Q40" s="313"/>
      <c r="R40" s="313"/>
      <c r="S40" s="2232"/>
      <c r="T40" s="2180"/>
      <c r="U40" s="961"/>
      <c r="V40" s="2150" t="s">
        <v>435</v>
      </c>
      <c r="W40" s="2228" t="s">
        <v>436</v>
      </c>
      <c r="X40" s="2073" t="s">
        <v>437</v>
      </c>
      <c r="Y40" s="2072"/>
      <c r="Z40" s="2073" t="s">
        <v>451</v>
      </c>
      <c r="AA40" s="2078"/>
      <c r="AB40" s="2072"/>
      <c r="AC40" s="2237"/>
      <c r="AD40" s="2150" t="s">
        <v>435</v>
      </c>
      <c r="AE40" s="2228" t="s">
        <v>436</v>
      </c>
      <c r="AF40" s="2073" t="s">
        <v>437</v>
      </c>
      <c r="AG40" s="2072"/>
      <c r="AH40" s="2073" t="s">
        <v>438</v>
      </c>
      <c r="AI40" s="2078"/>
      <c r="AJ40" s="2072"/>
      <c r="AK40" s="2237"/>
      <c r="AL40" s="2240"/>
      <c r="AM40" s="2091"/>
      <c r="AS40" s="1558">
        <v>34</v>
      </c>
    </row>
    <row r="41" spans="1:45" ht="35.65" customHeight="1">
      <c r="A41" s="1193"/>
      <c r="B41" s="1193" t="s">
        <v>139</v>
      </c>
      <c r="C41" s="1193" t="s">
        <v>140</v>
      </c>
      <c r="D41" s="1193" t="s">
        <v>141</v>
      </c>
      <c r="E41" s="1237" t="s">
        <v>439</v>
      </c>
      <c r="F41" s="1237" t="s">
        <v>440</v>
      </c>
      <c r="G41" s="1237" t="s">
        <v>441</v>
      </c>
      <c r="H41" s="1237" t="s">
        <v>442</v>
      </c>
      <c r="I41" s="1237" t="s">
        <v>443</v>
      </c>
      <c r="J41" s="1237" t="s">
        <v>444</v>
      </c>
      <c r="K41" s="1237" t="s">
        <v>445</v>
      </c>
      <c r="L41" s="1237" t="s">
        <v>420</v>
      </c>
      <c r="Q41" s="313"/>
      <c r="R41" s="313"/>
      <c r="S41" s="2232"/>
      <c r="T41" s="2180"/>
      <c r="U41" s="239"/>
      <c r="V41" s="2205"/>
      <c r="W41" s="2229"/>
      <c r="X41" s="1861" t="s">
        <v>446</v>
      </c>
      <c r="Y41" s="1861" t="s">
        <v>447</v>
      </c>
      <c r="Z41" s="1861" t="s">
        <v>448</v>
      </c>
      <c r="AA41" s="2185" t="s">
        <v>449</v>
      </c>
      <c r="AB41" s="2199"/>
      <c r="AC41" s="2238"/>
      <c r="AD41" s="2205"/>
      <c r="AE41" s="2229"/>
      <c r="AF41" s="1861" t="s">
        <v>446</v>
      </c>
      <c r="AG41" s="1861" t="s">
        <v>447</v>
      </c>
      <c r="AH41" s="1861" t="s">
        <v>448</v>
      </c>
      <c r="AI41" s="2185" t="s">
        <v>449</v>
      </c>
      <c r="AJ41" s="2199"/>
      <c r="AK41" s="2238"/>
      <c r="AL41" s="2241"/>
      <c r="AM41" s="2091"/>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30">
        <f ca="1">OFFSET(AA42,0,-1)+1</f>
        <v>4</v>
      </c>
      <c r="AB42" s="2230"/>
      <c r="AC42" s="1879">
        <f ca="1">OFFSET(AC42,0,-2)+1</f>
        <v>5</v>
      </c>
      <c r="AD42" s="1879">
        <f ca="1">OFFSET(AD42,0,-1)+1</f>
        <v>6</v>
      </c>
      <c r="AE42" s="1879"/>
      <c r="AF42" s="1879">
        <f ca="1">OFFSET(AF42,0,-1)+1</f>
        <v>1</v>
      </c>
      <c r="AG42" s="1879">
        <f ca="1">OFFSET(AG42,0,-1)+1</f>
        <v>2</v>
      </c>
      <c r="AH42" s="1879">
        <f ca="1">OFFSET(AH42,0,-1)+1</f>
        <v>3</v>
      </c>
      <c r="AI42" s="2230">
        <f ca="1">OFFSET(AI42,0,-1)+1</f>
        <v>4</v>
      </c>
      <c r="AJ42" s="2230"/>
      <c r="AK42" s="1879">
        <f ca="1">OFFSET(AK42,0,-2)+1</f>
        <v>5</v>
      </c>
      <c r="AL42" s="1172">
        <f ca="1">OFFSET(AL42,0,-1)</f>
        <v>5</v>
      </c>
      <c r="AM42" s="1879">
        <f ca="1">OFFSET(AM42,0,-1)+1</f>
        <v>6</v>
      </c>
      <c r="AN42" s="1563"/>
      <c r="AO42" s="1563"/>
      <c r="AP42" s="1563"/>
      <c r="AQ42" s="1563"/>
      <c r="AR42" s="1563"/>
      <c r="AS42" s="1568">
        <v>0</v>
      </c>
    </row>
    <row r="43" spans="1:45" ht="21.95" customHeight="1">
      <c r="A43" s="1194" t="s">
        <v>214</v>
      </c>
      <c r="B43" s="1194"/>
      <c r="C43" s="1194"/>
      <c r="D43" s="1194"/>
      <c r="E43" s="224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214</v>
      </c>
      <c r="B44" s="1194" t="s">
        <v>215</v>
      </c>
      <c r="C44" s="1194"/>
      <c r="D44" s="1194"/>
      <c r="E44" s="2246"/>
      <c r="F44" s="2245">
        <v>1</v>
      </c>
      <c r="G44" s="1194"/>
      <c r="H44" s="1194"/>
      <c r="I44" s="1194"/>
      <c r="J44" s="1194"/>
      <c r="K44" s="1194"/>
      <c r="L44" s="1237"/>
      <c r="M44" s="1537"/>
      <c r="N44" s="1537"/>
      <c r="O44" s="1537"/>
      <c r="P44" s="1863"/>
      <c r="Q44" s="289"/>
      <c r="R44" s="290"/>
      <c r="S44" s="1881" t="str">
        <f>INDEX(PT_DIFFERENTIATION_NUM_TER,MATCH(B44,PT_DIFFERENTIATION_TER_ID,0))</f>
        <v>.</v>
      </c>
      <c r="T44" s="1449"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5" t="s">
        <v>400</v>
      </c>
      <c r="AO44" s="1551"/>
      <c r="AP44" s="1551" t="str">
        <f t="shared" si="1"/>
        <v>Территория действия тарифа</v>
      </c>
      <c r="AQ44" s="1551"/>
      <c r="AR44" s="1551"/>
      <c r="AS44" s="1558">
        <v>21</v>
      </c>
    </row>
    <row r="45" spans="1:45" ht="24" customHeight="1">
      <c r="A45" s="1194" t="s">
        <v>214</v>
      </c>
      <c r="B45" s="1194" t="s">
        <v>215</v>
      </c>
      <c r="C45" s="1194" t="s">
        <v>216</v>
      </c>
      <c r="D45" s="1194"/>
      <c r="E45" s="2246"/>
      <c r="F45" s="2246"/>
      <c r="G45" s="2245">
        <v>1</v>
      </c>
      <c r="H45" s="1194"/>
      <c r="I45" s="1194"/>
      <c r="J45" s="1194"/>
      <c r="K45" s="1194"/>
      <c r="L45" s="1237"/>
      <c r="M45" s="1537"/>
      <c r="N45" s="1537"/>
      <c r="O45" s="1537"/>
      <c r="P45" s="291"/>
      <c r="Q45" s="289"/>
      <c r="R45" s="290"/>
      <c r="S45" s="1881"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5" t="s">
        <v>402</v>
      </c>
      <c r="AO45" s="1551"/>
      <c r="AP45" s="1551" t="str">
        <f t="shared" si="1"/>
        <v xml:space="preserve">Наименование системы теплоснабжения </v>
      </c>
      <c r="AQ45" s="1551"/>
      <c r="AR45" s="1551"/>
      <c r="AS45" s="1558">
        <v>23</v>
      </c>
    </row>
    <row r="46" spans="1:45" ht="21.95" customHeight="1">
      <c r="A46" s="1194" t="s">
        <v>214</v>
      </c>
      <c r="B46" s="1194" t="s">
        <v>215</v>
      </c>
      <c r="C46" s="1194" t="s">
        <v>216</v>
      </c>
      <c r="D46" s="1194" t="s">
        <v>217</v>
      </c>
      <c r="E46" s="2246"/>
      <c r="F46" s="2246"/>
      <c r="G46" s="2246"/>
      <c r="H46" s="2245">
        <v>1</v>
      </c>
      <c r="I46" s="1194"/>
      <c r="J46" s="1194"/>
      <c r="K46" s="1194"/>
      <c r="L46" s="1237"/>
      <c r="M46" s="1537"/>
      <c r="N46" s="1537"/>
      <c r="O46" s="1537"/>
      <c r="P46" s="291"/>
      <c r="Q46" s="289"/>
      <c r="R46" s="290"/>
      <c r="S46" s="1881"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5" t="s">
        <v>404</v>
      </c>
      <c r="AO46" s="1551"/>
      <c r="AP46" s="1551" t="str">
        <f t="shared" si="1"/>
        <v xml:space="preserve">Источник тепловой энергии  </v>
      </c>
      <c r="AQ46" s="1551"/>
      <c r="AR46" s="1551"/>
      <c r="AS46" s="1558">
        <v>21</v>
      </c>
    </row>
    <row r="47" spans="1:45" ht="49.5" customHeight="1">
      <c r="A47" s="1194" t="s">
        <v>214</v>
      </c>
      <c r="B47" s="1194" t="s">
        <v>215</v>
      </c>
      <c r="C47" s="1194" t="s">
        <v>216</v>
      </c>
      <c r="D47" s="1194" t="s">
        <v>217</v>
      </c>
      <c r="E47" s="2246"/>
      <c r="F47" s="2246"/>
      <c r="G47" s="2246"/>
      <c r="H47" s="2246"/>
      <c r="I47" s="2091" t="str">
        <f>S46&amp;".1"</f>
        <v>....1</v>
      </c>
      <c r="J47" s="1194"/>
      <c r="K47" s="1194"/>
      <c r="L47" s="1237" t="s">
        <v>405</v>
      </c>
      <c r="P47" s="2223">
        <v>1</v>
      </c>
      <c r="Q47" s="1877"/>
      <c r="R47" s="293"/>
      <c r="S47" s="1881" t="str">
        <f>$I47</f>
        <v>....1</v>
      </c>
      <c r="T47" s="222" t="s">
        <v>406</v>
      </c>
      <c r="U47" s="237"/>
      <c r="V47" s="2207"/>
      <c r="W47" s="2208"/>
      <c r="X47" s="2208"/>
      <c r="Y47" s="2208"/>
      <c r="Z47" s="2208"/>
      <c r="AA47" s="2208"/>
      <c r="AB47" s="2208"/>
      <c r="AC47" s="2209"/>
      <c r="AD47" s="2207"/>
      <c r="AE47" s="2208"/>
      <c r="AF47" s="2208"/>
      <c r="AG47" s="2208"/>
      <c r="AH47" s="2208"/>
      <c r="AI47" s="2208"/>
      <c r="AJ47" s="2208"/>
      <c r="AK47" s="2208"/>
      <c r="AL47" s="2209"/>
      <c r="AM47" s="1185" t="s">
        <v>407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214</v>
      </c>
      <c r="B48" s="1194" t="s">
        <v>215</v>
      </c>
      <c r="C48" s="1194" t="s">
        <v>216</v>
      </c>
      <c r="D48" s="1194" t="s">
        <v>217</v>
      </c>
      <c r="E48" s="2246"/>
      <c r="F48" s="2246"/>
      <c r="G48" s="2246"/>
      <c r="H48" s="2246"/>
      <c r="I48" s="2073"/>
      <c r="J48" s="2091" t="str">
        <f>I47&amp;".1"</f>
        <v>....1.1</v>
      </c>
      <c r="K48" s="1194"/>
      <c r="L48" s="1237" t="s">
        <v>408</v>
      </c>
      <c r="P48" s="2223"/>
      <c r="Q48" s="2223">
        <v>1</v>
      </c>
      <c r="R48" s="294"/>
      <c r="S48" s="1881" t="str">
        <f>$J48</f>
        <v>....1.1</v>
      </c>
      <c r="T48" s="223" t="s">
        <v>409</v>
      </c>
      <c r="U48" s="237"/>
      <c r="V48" s="2207"/>
      <c r="W48" s="2208"/>
      <c r="X48" s="2208"/>
      <c r="Y48" s="2208"/>
      <c r="Z48" s="2208"/>
      <c r="AA48" s="2208"/>
      <c r="AB48" s="2208"/>
      <c r="AC48" s="2209"/>
      <c r="AD48" s="2207"/>
      <c r="AE48" s="2208"/>
      <c r="AF48" s="2208"/>
      <c r="AG48" s="2208"/>
      <c r="AH48" s="2208"/>
      <c r="AI48" s="2208"/>
      <c r="AJ48" s="2208"/>
      <c r="AK48" s="2208"/>
      <c r="AL48" s="2209"/>
      <c r="AM48" s="1185" t="s">
        <v>410</v>
      </c>
      <c r="AO48" s="1551"/>
      <c r="AP48" s="1551" t="str">
        <f t="shared" si="1"/>
        <v>Группа потребителей</v>
      </c>
      <c r="AQ48" s="1551"/>
      <c r="AR48" s="1551"/>
      <c r="AS48" s="1558">
        <v>21</v>
      </c>
    </row>
    <row r="49" spans="1:45" ht="21.95" customHeight="1">
      <c r="A49" s="1194" t="s">
        <v>214</v>
      </c>
      <c r="B49" s="1194" t="s">
        <v>215</v>
      </c>
      <c r="C49" s="1194" t="s">
        <v>216</v>
      </c>
      <c r="D49" s="1194" t="s">
        <v>217</v>
      </c>
      <c r="E49" s="2246"/>
      <c r="F49" s="2246"/>
      <c r="G49" s="2246"/>
      <c r="H49" s="2246"/>
      <c r="I49" s="2073"/>
      <c r="J49" s="2073"/>
      <c r="K49" s="2091" t="str">
        <f>J48&amp;".1"</f>
        <v>....1.1.1</v>
      </c>
      <c r="L49" s="1237" t="s">
        <v>411</v>
      </c>
      <c r="P49" s="2223"/>
      <c r="Q49" s="2223"/>
      <c r="R49" s="294">
        <v>1</v>
      </c>
      <c r="S49" s="1881" t="str">
        <f>$K49</f>
        <v>....1.1.1</v>
      </c>
      <c r="T49" s="1274"/>
      <c r="U49" s="237"/>
      <c r="V49" s="688"/>
      <c r="W49" s="262"/>
      <c r="X49" s="688"/>
      <c r="Y49" s="1184"/>
      <c r="Z49" s="2224"/>
      <c r="AA49" s="2102" t="s">
        <v>65</v>
      </c>
      <c r="AB49" s="2224"/>
      <c r="AC49" s="2102" t="s">
        <v>65</v>
      </c>
      <c r="AD49" s="688"/>
      <c r="AE49" s="262"/>
      <c r="AF49" s="688"/>
      <c r="AG49" s="1184"/>
      <c r="AH49" s="2224"/>
      <c r="AI49" s="2102" t="s">
        <v>65</v>
      </c>
      <c r="AJ49" s="2226"/>
      <c r="AK49" s="2102" t="s">
        <v>65</v>
      </c>
      <c r="AL49" s="1275"/>
      <c r="AM49" s="2242" t="s">
        <v>412</v>
      </c>
      <c r="AN49" s="1563" t="e">
        <f ca="1">STRCHECKDATE(V50:AL50)</f>
        <v>#NAME?</v>
      </c>
      <c r="AO49" s="1551"/>
      <c r="AP49" s="1551" t="str">
        <f t="shared" si="1"/>
        <v/>
      </c>
      <c r="AQ49" s="1551"/>
      <c r="AR49" s="1551"/>
      <c r="AS49" s="1558">
        <v>21</v>
      </c>
    </row>
    <row r="50" spans="1:45" ht="1.1499999999999999" customHeight="1">
      <c r="A50" s="1194" t="s">
        <v>214</v>
      </c>
      <c r="B50" s="1194" t="s">
        <v>215</v>
      </c>
      <c r="C50" s="1194" t="s">
        <v>216</v>
      </c>
      <c r="D50" s="1194" t="s">
        <v>217</v>
      </c>
      <c r="E50" s="2246"/>
      <c r="F50" s="2246"/>
      <c r="G50" s="2246"/>
      <c r="H50" s="2246"/>
      <c r="I50" s="2073"/>
      <c r="J50" s="2073"/>
      <c r="K50" s="2091"/>
      <c r="L50" s="1237"/>
      <c r="P50" s="2223"/>
      <c r="Q50" s="2223"/>
      <c r="R50" s="294"/>
      <c r="S50" s="1890"/>
      <c r="T50" s="237"/>
      <c r="U50" s="237"/>
      <c r="V50" s="262"/>
      <c r="W50" s="262"/>
      <c r="X50" s="262"/>
      <c r="Y50" s="265" t="str">
        <f>Z49&amp;"-"&amp;AB49</f>
        <v>-</v>
      </c>
      <c r="Z50" s="2225"/>
      <c r="AA50" s="2102"/>
      <c r="AB50" s="2225"/>
      <c r="AC50" s="2102"/>
      <c r="AD50" s="262"/>
      <c r="AE50" s="262"/>
      <c r="AF50" s="262"/>
      <c r="AG50" s="265" t="str">
        <f>AH49&amp;"-"&amp;AJ49</f>
        <v>-</v>
      </c>
      <c r="AH50" s="2225"/>
      <c r="AI50" s="2102"/>
      <c r="AJ50" s="2227"/>
      <c r="AK50" s="2102"/>
      <c r="AL50" s="1276"/>
      <c r="AM50" s="2243"/>
      <c r="AO50" s="1551"/>
      <c r="AP50" s="1551" t="str">
        <f t="shared" si="1"/>
        <v/>
      </c>
      <c r="AQ50" s="1551"/>
      <c r="AR50" s="1551"/>
      <c r="AS50" s="1558">
        <v>1</v>
      </c>
    </row>
    <row r="51" spans="1:45" ht="11.45" customHeight="1">
      <c r="A51" s="1194" t="s">
        <v>214</v>
      </c>
      <c r="B51" s="1194" t="s">
        <v>215</v>
      </c>
      <c r="C51" s="1194" t="s">
        <v>216</v>
      </c>
      <c r="D51" s="1194" t="s">
        <v>217</v>
      </c>
      <c r="E51" s="2246"/>
      <c r="F51" s="2246"/>
      <c r="G51" s="2246"/>
      <c r="H51" s="2246"/>
      <c r="I51" s="2073"/>
      <c r="J51" s="2091"/>
      <c r="K51" s="1194"/>
      <c r="L51" s="1237"/>
      <c r="P51" s="2223"/>
      <c r="Q51" s="2223"/>
      <c r="R51" s="293"/>
      <c r="S51" s="1205"/>
      <c r="T51" s="225" t="s">
        <v>413</v>
      </c>
      <c r="U51" s="537"/>
      <c r="V51" s="537"/>
      <c r="W51" s="537"/>
      <c r="X51" s="537"/>
      <c r="Y51" s="537"/>
      <c r="Z51" s="537"/>
      <c r="AA51" s="537"/>
      <c r="AB51" s="537"/>
      <c r="AC51" s="537"/>
      <c r="AD51" s="537"/>
      <c r="AE51" s="537"/>
      <c r="AF51" s="537"/>
      <c r="AG51" s="537"/>
      <c r="AH51" s="537"/>
      <c r="AI51" s="537"/>
      <c r="AJ51" s="537"/>
      <c r="AK51" s="537"/>
      <c r="AL51" s="261"/>
      <c r="AM51" s="2244"/>
      <c r="AO51" s="1551"/>
      <c r="AP51" s="1551" t="str">
        <f t="shared" si="1"/>
        <v>Добавить вид теплоносителя (параметры теплоносителя)</v>
      </c>
      <c r="AQ51" s="1551"/>
      <c r="AR51" s="1551"/>
      <c r="AS51" s="1558">
        <v>11</v>
      </c>
    </row>
    <row r="52" spans="1:45" ht="11.45" customHeight="1">
      <c r="A52" s="1194" t="s">
        <v>214</v>
      </c>
      <c r="B52" s="1194" t="s">
        <v>215</v>
      </c>
      <c r="C52" s="1194" t="s">
        <v>216</v>
      </c>
      <c r="D52" s="1194" t="s">
        <v>217</v>
      </c>
      <c r="E52" s="2246"/>
      <c r="F52" s="2246"/>
      <c r="G52" s="2246"/>
      <c r="H52" s="2246"/>
      <c r="I52" s="2091"/>
      <c r="J52" s="1194"/>
      <c r="K52" s="1194"/>
      <c r="L52" s="1237"/>
      <c r="P52" s="2223"/>
      <c r="Q52" s="1877"/>
      <c r="R52" s="293"/>
      <c r="S52" s="1205"/>
      <c r="T52" s="224" t="s">
        <v>414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214</v>
      </c>
      <c r="B53" s="1194" t="s">
        <v>215</v>
      </c>
      <c r="C53" s="1194" t="s">
        <v>216</v>
      </c>
      <c r="D53" s="1194" t="s">
        <v>217</v>
      </c>
      <c r="E53" s="2246"/>
      <c r="F53" s="2246"/>
      <c r="G53" s="2246"/>
      <c r="H53" s="2245"/>
      <c r="I53" s="1194"/>
      <c r="J53" s="1194"/>
      <c r="K53" s="1194"/>
      <c r="L53" s="1237"/>
      <c r="M53" s="1537"/>
      <c r="N53" s="1537"/>
      <c r="O53" s="1562"/>
      <c r="P53" s="297"/>
      <c r="Q53" s="312"/>
      <c r="R53" s="292"/>
      <c r="S53" s="1205"/>
      <c r="T53" s="302" t="s">
        <v>415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214</v>
      </c>
      <c r="B54" s="1194" t="s">
        <v>215</v>
      </c>
      <c r="C54" s="1194" t="s">
        <v>216</v>
      </c>
      <c r="D54" s="1897"/>
      <c r="E54" s="2246"/>
      <c r="F54" s="2246"/>
      <c r="G54" s="2245"/>
      <c r="H54" s="1897"/>
      <c r="I54" s="1897"/>
      <c r="J54" s="1897"/>
      <c r="K54" s="1897"/>
      <c r="L54" s="1307"/>
      <c r="M54" s="1537"/>
      <c r="N54" s="1537"/>
      <c r="O54" s="156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214</v>
      </c>
      <c r="B55" s="1194" t="s">
        <v>215</v>
      </c>
      <c r="C55" s="1897"/>
      <c r="D55" s="1897"/>
      <c r="E55" s="2246"/>
      <c r="F55" s="2245"/>
      <c r="G55" s="1897"/>
      <c r="H55" s="1897"/>
      <c r="I55" s="1897"/>
      <c r="J55" s="1897"/>
      <c r="K55" s="1897"/>
      <c r="L55" s="1307"/>
      <c r="M55" s="1898"/>
      <c r="N55" s="1898"/>
      <c r="O55" s="1562"/>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214</v>
      </c>
      <c r="B56" s="1194"/>
      <c r="C56" s="1194"/>
      <c r="D56" s="1194"/>
      <c r="E56" s="2245"/>
      <c r="F56" s="1194"/>
      <c r="G56" s="1194"/>
      <c r="H56" s="1194"/>
      <c r="I56" s="1194"/>
      <c r="J56" s="1194"/>
      <c r="K56" s="1194"/>
      <c r="L56" s="1237"/>
      <c r="M56" s="1898"/>
      <c r="N56" s="1898"/>
      <c r="O56" s="1562"/>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558">
        <v>27</v>
      </c>
    </row>
    <row r="60" spans="1:45" ht="65.25" customHeight="1">
      <c r="O60" s="1562"/>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558">
        <v>62</v>
      </c>
    </row>
    <row r="61" spans="1:45" ht="14.65" customHeight="1">
      <c r="O61" s="1562"/>
      <c r="AS61" s="1558">
        <v>14</v>
      </c>
    </row>
    <row r="62" spans="1:45" ht="18.75" customHeight="1">
      <c r="O62" s="1562"/>
      <c r="S62" s="1180"/>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558">
        <v>18</v>
      </c>
    </row>
    <row r="63" spans="1:45" ht="18.75" customHeight="1">
      <c r="O63" s="1562"/>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558">
        <v>18</v>
      </c>
    </row>
    <row r="64" spans="1:45" ht="29.25" customHeight="1">
      <c r="O64" s="1562"/>
      <c r="S64" s="1180"/>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19">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5" t="s">
        <v>398</v>
      </c>
      <c r="AO2" s="437"/>
      <c r="AP2" s="437" t="str">
        <f t="shared" ref="AP2:AP15" si="0">IF(T2="","",T2)</f>
        <v>Наименование тарифа</v>
      </c>
      <c r="AQ2" s="437"/>
      <c r="AR2" s="437"/>
      <c r="AS2" s="1082">
        <v>0</v>
      </c>
    </row>
    <row r="3" spans="1:45" ht="21" hidden="1" customHeight="1">
      <c r="A3" s="1290"/>
      <c r="B3" s="1290"/>
      <c r="C3" s="1290"/>
      <c r="D3" s="1290"/>
      <c r="E3" s="2220"/>
      <c r="F3" s="2219">
        <v>1</v>
      </c>
      <c r="G3" s="1290"/>
      <c r="H3" s="1290"/>
      <c r="I3" s="1290"/>
      <c r="J3" s="1290"/>
      <c r="K3" s="1290"/>
      <c r="L3" s="1291"/>
      <c r="M3" s="1292"/>
      <c r="N3" s="1292"/>
      <c r="O3" s="1292"/>
      <c r="P3" s="1259"/>
      <c r="Q3" s="289"/>
      <c r="R3" s="290"/>
      <c r="S3" s="1263"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5" t="s">
        <v>400</v>
      </c>
      <c r="AO3" s="437"/>
      <c r="AP3" s="437" t="str">
        <f t="shared" si="0"/>
        <v>Территория действия тарифа</v>
      </c>
      <c r="AQ3" s="437"/>
      <c r="AR3" s="437"/>
      <c r="AS3" s="1082">
        <v>0</v>
      </c>
    </row>
    <row r="4" spans="1:45" ht="23.25" hidden="1" customHeight="1">
      <c r="A4" s="1290"/>
      <c r="B4" s="1290"/>
      <c r="C4" s="1290"/>
      <c r="D4" s="1290"/>
      <c r="E4" s="2220"/>
      <c r="F4" s="2220"/>
      <c r="G4" s="2219">
        <v>1</v>
      </c>
      <c r="H4" s="1290"/>
      <c r="I4" s="1290"/>
      <c r="J4" s="1290"/>
      <c r="K4" s="1290"/>
      <c r="L4" s="1291"/>
      <c r="M4" s="1292"/>
      <c r="N4" s="1292"/>
      <c r="O4" s="1292"/>
      <c r="P4" s="291"/>
      <c r="Q4" s="289"/>
      <c r="R4" s="290"/>
      <c r="S4" s="1263"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0"/>
      <c r="F5" s="2220"/>
      <c r="G5" s="2220"/>
      <c r="H5" s="2219">
        <v>1</v>
      </c>
      <c r="I5" s="1290"/>
      <c r="J5" s="1290"/>
      <c r="K5" s="1290"/>
      <c r="L5" s="1291"/>
      <c r="M5" s="1292"/>
      <c r="N5" s="1292"/>
      <c r="O5" s="1292"/>
      <c r="P5" s="291"/>
      <c r="Q5" s="289"/>
      <c r="R5" s="290"/>
      <c r="S5" s="1263"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5" t="s">
        <v>404</v>
      </c>
      <c r="AO5" s="437"/>
      <c r="AP5" s="437" t="str">
        <f t="shared" si="0"/>
        <v xml:space="preserve">Источник тепловой энергии  </v>
      </c>
      <c r="AQ5" s="437"/>
      <c r="AR5" s="437"/>
      <c r="AS5" s="1082">
        <v>0</v>
      </c>
    </row>
    <row r="6" spans="1:45" ht="47.25" hidden="1" customHeight="1">
      <c r="A6" s="1290"/>
      <c r="B6" s="1290"/>
      <c r="C6" s="1290"/>
      <c r="D6" s="1290"/>
      <c r="E6" s="2220"/>
      <c r="F6" s="2220"/>
      <c r="G6" s="2220"/>
      <c r="H6" s="2220"/>
      <c r="I6" s="2221" t="e">
        <f>S5&amp;".1"</f>
        <v>#N/A</v>
      </c>
      <c r="J6" s="1290"/>
      <c r="K6" s="1290"/>
      <c r="L6" s="1291" t="s">
        <v>405</v>
      </c>
      <c r="M6" s="474"/>
      <c r="P6" s="2223">
        <v>1</v>
      </c>
      <c r="Q6" s="1258"/>
      <c r="R6" s="293"/>
      <c r="S6" s="1263" t="e">
        <f>$I6</f>
        <v>#N/A</v>
      </c>
      <c r="T6" s="222" t="s">
        <v>406</v>
      </c>
      <c r="U6" s="237"/>
      <c r="V6" s="2207"/>
      <c r="W6" s="2208"/>
      <c r="X6" s="2208"/>
      <c r="Y6" s="2208"/>
      <c r="Z6" s="2208"/>
      <c r="AA6" s="2208"/>
      <c r="AB6" s="2208"/>
      <c r="AC6" s="2209"/>
      <c r="AD6" s="2207"/>
      <c r="AE6" s="2208"/>
      <c r="AF6" s="2208"/>
      <c r="AG6" s="2208"/>
      <c r="AH6" s="2208"/>
      <c r="AI6" s="2208"/>
      <c r="AJ6" s="2208"/>
      <c r="AK6" s="2208"/>
      <c r="AL6" s="2209"/>
      <c r="AM6" s="1185" t="s">
        <v>407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20"/>
      <c r="F7" s="2220"/>
      <c r="G7" s="2220"/>
      <c r="H7" s="2220"/>
      <c r="I7" s="2222"/>
      <c r="J7" s="2221" t="e">
        <f>I6&amp;".1"</f>
        <v>#N/A</v>
      </c>
      <c r="K7" s="1290"/>
      <c r="L7" s="1291" t="s">
        <v>408</v>
      </c>
      <c r="M7" s="474"/>
      <c r="N7" s="1293"/>
      <c r="P7" s="2223"/>
      <c r="Q7" s="2223">
        <v>1</v>
      </c>
      <c r="R7" s="294"/>
      <c r="S7" s="1263" t="e">
        <f>$J7</f>
        <v>#N/A</v>
      </c>
      <c r="T7" s="223" t="s">
        <v>409</v>
      </c>
      <c r="U7" s="237"/>
      <c r="V7" s="2207"/>
      <c r="W7" s="2208"/>
      <c r="X7" s="2208"/>
      <c r="Y7" s="2208"/>
      <c r="Z7" s="2208"/>
      <c r="AA7" s="2208"/>
      <c r="AB7" s="2208"/>
      <c r="AC7" s="2209"/>
      <c r="AD7" s="2207"/>
      <c r="AE7" s="2208"/>
      <c r="AF7" s="2208"/>
      <c r="AG7" s="2208"/>
      <c r="AH7" s="2208"/>
      <c r="AI7" s="2208"/>
      <c r="AJ7" s="2208"/>
      <c r="AK7" s="2208"/>
      <c r="AL7" s="2209"/>
      <c r="AM7" s="1185" t="s">
        <v>410</v>
      </c>
      <c r="AO7" s="437"/>
      <c r="AP7" s="437" t="str">
        <f t="shared" si="0"/>
        <v>Группа потребителей</v>
      </c>
      <c r="AQ7" s="437"/>
      <c r="AR7" s="437"/>
      <c r="AS7" s="1082">
        <v>0</v>
      </c>
    </row>
    <row r="8" spans="1:45" ht="21" hidden="1" customHeight="1">
      <c r="A8" s="1290"/>
      <c r="B8" s="1290"/>
      <c r="C8" s="1290"/>
      <c r="D8" s="1290"/>
      <c r="E8" s="2220"/>
      <c r="F8" s="2220"/>
      <c r="G8" s="2220"/>
      <c r="H8" s="2220"/>
      <c r="I8" s="2222"/>
      <c r="J8" s="2222"/>
      <c r="K8" s="2221" t="e">
        <f>J7&amp;".1"</f>
        <v>#N/A</v>
      </c>
      <c r="L8" s="1291" t="s">
        <v>411</v>
      </c>
      <c r="M8" s="474"/>
      <c r="N8" s="1293"/>
      <c r="O8" s="1293"/>
      <c r="P8" s="2223"/>
      <c r="Q8" s="2223"/>
      <c r="R8" s="294">
        <v>1</v>
      </c>
      <c r="S8" s="1263" t="e">
        <f>$K8</f>
        <v>#N/A</v>
      </c>
      <c r="T8" s="1274"/>
      <c r="U8" s="237"/>
      <c r="V8" s="262"/>
      <c r="W8" s="688"/>
      <c r="X8" s="262"/>
      <c r="Y8" s="321"/>
      <c r="Z8" s="2224"/>
      <c r="AA8" s="2102" t="s">
        <v>65</v>
      </c>
      <c r="AB8" s="2224"/>
      <c r="AC8" s="2102" t="s">
        <v>65</v>
      </c>
      <c r="AD8" s="262"/>
      <c r="AE8" s="688"/>
      <c r="AF8" s="262"/>
      <c r="AG8" s="321"/>
      <c r="AH8" s="2224"/>
      <c r="AI8" s="2102" t="s">
        <v>65</v>
      </c>
      <c r="AJ8" s="2224"/>
      <c r="AK8" s="2102" t="s">
        <v>65</v>
      </c>
      <c r="AL8" s="262"/>
      <c r="AM8" s="2242" t="s">
        <v>412</v>
      </c>
      <c r="AN8" s="448" t="e">
        <f ca="1">STRCHECKDATE(V9:AL9)</f>
        <v>#NAME?</v>
      </c>
      <c r="AO8" s="437"/>
      <c r="AP8" s="437" t="str">
        <f t="shared" si="0"/>
        <v/>
      </c>
      <c r="AQ8" s="437"/>
      <c r="AR8" s="437"/>
      <c r="AS8" s="1082">
        <v>0</v>
      </c>
    </row>
    <row r="9" spans="1:45" ht="0.75" hidden="1" customHeight="1">
      <c r="A9" s="1290"/>
      <c r="B9" s="1290"/>
      <c r="C9" s="1290"/>
      <c r="D9" s="1290"/>
      <c r="E9" s="2220"/>
      <c r="F9" s="2220"/>
      <c r="G9" s="2220"/>
      <c r="H9" s="2220"/>
      <c r="I9" s="2222"/>
      <c r="J9" s="2222"/>
      <c r="K9" s="2221"/>
      <c r="L9" s="1291"/>
      <c r="M9" s="474"/>
      <c r="N9" s="1293"/>
      <c r="O9" s="1293"/>
      <c r="P9" s="2223"/>
      <c r="Q9" s="2223"/>
      <c r="R9" s="294"/>
      <c r="S9" s="1269"/>
      <c r="T9" s="237"/>
      <c r="U9" s="237"/>
      <c r="V9" s="262"/>
      <c r="W9" s="262"/>
      <c r="X9" s="262"/>
      <c r="Y9" s="265" t="str">
        <f>Z8&amp;"-"&amp;AB8</f>
        <v>-</v>
      </c>
      <c r="Z9" s="2225"/>
      <c r="AA9" s="2102"/>
      <c r="AB9" s="2225"/>
      <c r="AC9" s="2102"/>
      <c r="AD9" s="262"/>
      <c r="AE9" s="262"/>
      <c r="AF9" s="262"/>
      <c r="AG9" s="265" t="str">
        <f>AH8&amp;"-"&amp;AJ8</f>
        <v>-</v>
      </c>
      <c r="AH9" s="2225"/>
      <c r="AI9" s="2102"/>
      <c r="AJ9" s="2225"/>
      <c r="AK9" s="2102"/>
      <c r="AL9" s="262"/>
      <c r="AM9" s="2243"/>
      <c r="AO9" s="437"/>
      <c r="AP9" s="437" t="str">
        <f t="shared" si="0"/>
        <v/>
      </c>
      <c r="AQ9" s="437"/>
      <c r="AR9" s="437"/>
      <c r="AS9" s="1082">
        <v>0</v>
      </c>
    </row>
    <row r="10" spans="1:45" ht="15" hidden="1" customHeight="1">
      <c r="A10" s="1290"/>
      <c r="B10" s="1290"/>
      <c r="C10" s="1290"/>
      <c r="D10" s="1290"/>
      <c r="E10" s="2220"/>
      <c r="F10" s="2220"/>
      <c r="G10" s="2220"/>
      <c r="H10" s="2220"/>
      <c r="I10" s="2222"/>
      <c r="J10" s="2221"/>
      <c r="K10" s="1290"/>
      <c r="L10" s="1291"/>
      <c r="M10" s="474"/>
      <c r="N10" s="1293"/>
      <c r="P10" s="2223"/>
      <c r="Q10" s="2223"/>
      <c r="R10" s="293"/>
      <c r="S10" s="1205"/>
      <c r="T10" s="225" t="s">
        <v>413</v>
      </c>
      <c r="U10" s="304"/>
      <c r="V10" s="304"/>
      <c r="W10" s="304"/>
      <c r="X10" s="304"/>
      <c r="Y10" s="304"/>
      <c r="Z10" s="304"/>
      <c r="AA10" s="304"/>
      <c r="AB10" s="304"/>
      <c r="AC10" s="304"/>
      <c r="AD10" s="304"/>
      <c r="AE10" s="304"/>
      <c r="AF10" s="304"/>
      <c r="AG10" s="304"/>
      <c r="AH10" s="304"/>
      <c r="AI10" s="304"/>
      <c r="AJ10" s="304"/>
      <c r="AK10" s="304"/>
      <c r="AL10" s="261"/>
      <c r="AM10" s="224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0"/>
      <c r="F11" s="2220"/>
      <c r="G11" s="2220"/>
      <c r="H11" s="2220"/>
      <c r="I11" s="2221"/>
      <c r="J11" s="1290"/>
      <c r="K11" s="1290"/>
      <c r="L11" s="1291"/>
      <c r="M11" s="474"/>
      <c r="P11" s="2223"/>
      <c r="Q11" s="1258"/>
      <c r="R11" s="293"/>
      <c r="S11" s="1205"/>
      <c r="T11" s="224"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0"/>
      <c r="F12" s="2220"/>
      <c r="G12" s="2220"/>
      <c r="H12" s="2219"/>
      <c r="I12" s="1290"/>
      <c r="J12" s="1290"/>
      <c r="K12" s="1290"/>
      <c r="L12" s="1291"/>
      <c r="M12" s="1292"/>
      <c r="N12" s="1292"/>
      <c r="O12" s="474"/>
      <c r="P12" s="297"/>
      <c r="Q12" s="312"/>
      <c r="R12" s="292"/>
      <c r="S12" s="1205"/>
      <c r="T12" s="302" t="s">
        <v>415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20"/>
      <c r="F13" s="2220"/>
      <c r="G13" s="2219"/>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0"/>
      <c r="F14" s="2219"/>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9"/>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7"/>
      <c r="AI17" s="2216" t="s">
        <v>65</v>
      </c>
      <c r="AJ17" s="2217"/>
      <c r="AK17" s="2216" t="s">
        <v>65</v>
      </c>
      <c r="AS17" s="1082">
        <v>0</v>
      </c>
    </row>
    <row r="18" spans="1:45" ht="14.25" hidden="1" customHeight="1">
      <c r="AD18" s="1287"/>
      <c r="AE18" s="1287"/>
      <c r="AF18" s="1287"/>
      <c r="AG18" s="265" t="str">
        <f>AH17&amp;"-"&amp;AJ17</f>
        <v>-</v>
      </c>
      <c r="AH18" s="2216"/>
      <c r="AI18" s="2216"/>
      <c r="AJ18" s="2216"/>
      <c r="AK18" s="2216"/>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0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00"/>
      <c r="U26" s="2200"/>
      <c r="V26" s="2200"/>
      <c r="W26" s="2200"/>
      <c r="X26" s="2200"/>
      <c r="Y26" s="2200"/>
      <c r="Z26" s="2200"/>
      <c r="AA26" s="2200"/>
      <c r="AB26" s="2200"/>
      <c r="AC26" s="2200"/>
      <c r="AD26" s="2200"/>
      <c r="AE26" s="2200"/>
      <c r="AF26" s="2200"/>
      <c r="AG26" s="2200"/>
      <c r="AH26" s="2200"/>
      <c r="AI26" s="2200"/>
      <c r="AJ26" s="2200"/>
      <c r="AK26" s="1170"/>
      <c r="AS26" s="1082">
        <v>28</v>
      </c>
    </row>
    <row r="27" spans="1:45" ht="14.65" customHeight="1">
      <c r="Q27" s="313"/>
      <c r="R27" s="313"/>
      <c r="S27" s="2172" t="str">
        <f>IF(org=0,"Не определено",org)</f>
        <v>МУП "Михайловское водопроводно-канализационное хозяйство"</v>
      </c>
      <c r="T27" s="2172"/>
      <c r="U27" s="2172"/>
      <c r="V27" s="2172"/>
      <c r="W27" s="2172"/>
      <c r="X27" s="2172"/>
      <c r="Y27" s="2172"/>
      <c r="Z27" s="2172"/>
      <c r="AA27" s="2172"/>
      <c r="AB27" s="2172"/>
      <c r="AC27" s="2172"/>
      <c r="AD27" s="2172"/>
      <c r="AE27" s="2172"/>
      <c r="AF27" s="2172"/>
      <c r="AG27" s="2172"/>
      <c r="AH27" s="2172"/>
      <c r="AI27" s="2172"/>
      <c r="AJ27" s="217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10" t="s">
        <v>42</v>
      </c>
      <c r="T29" s="2210"/>
      <c r="U29" s="1299"/>
      <c r="V29" s="2212" t="str">
        <f>IF(TITLE_NAME_OR_PR_CHANGE="",IF(TITLE_NAME_OR_PR="","",TITLE_NAME_OR_PR),TITLE_NAME_OR_PR_CHANGE)</f>
        <v/>
      </c>
      <c r="W29" s="2212"/>
      <c r="X29" s="2212"/>
      <c r="Y29" s="2212"/>
      <c r="Z29" s="2212"/>
      <c r="AA29" s="2212"/>
      <c r="AB29" s="2212"/>
      <c r="AC29" s="263"/>
      <c r="AD29" s="2212" t="str">
        <f>IF(TITLE_NAME_OR_PR_CHANGE="",IF(TITLE_NAME_OR_PR="","",TITLE_NAME_OR_PR),TITLE_NAME_OR_PR_CHANGE)</f>
        <v/>
      </c>
      <c r="AE29" s="2212"/>
      <c r="AF29" s="2212"/>
      <c r="AG29" s="2212"/>
      <c r="AH29" s="2212"/>
      <c r="AI29" s="2212"/>
      <c r="AJ29" s="221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10" t="s">
        <v>425</v>
      </c>
      <c r="T30" s="2210"/>
      <c r="U30" s="1299"/>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10" t="s">
        <v>426</v>
      </c>
      <c r="T31" s="2210"/>
      <c r="U31" s="1299"/>
      <c r="V31" s="2212" t="str">
        <f>IF(TITLE_NUMBER_PR_CHANGE="",IF(TITLE_NUMBER_PR="","",TITLE_NUMBER_PR),TITLE_NUMBER_PR_CHANGE)</f>
        <v/>
      </c>
      <c r="W31" s="2212"/>
      <c r="X31" s="2212"/>
      <c r="Y31" s="2212"/>
      <c r="Z31" s="2212"/>
      <c r="AA31" s="2212"/>
      <c r="AB31" s="2212"/>
      <c r="AC31" s="263"/>
      <c r="AD31" s="2212" t="str">
        <f>IF(TITLE_NUMBER_PR_CHANGE="",IF(TITLE_NUMBER_PR="","",TITLE_NUMBER_PR),TITLE_NUMBER_PR_CHANGE)</f>
        <v/>
      </c>
      <c r="AE31" s="2212"/>
      <c r="AF31" s="2212"/>
      <c r="AG31" s="2212"/>
      <c r="AH31" s="2212"/>
      <c r="AI31" s="2212"/>
      <c r="AJ31" s="221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10" t="s">
        <v>43</v>
      </c>
      <c r="T32" s="2210"/>
      <c r="U32" s="1299"/>
      <c r="V32" s="2212" t="str">
        <f>IF(TITLE_IST_PUB_CHANGE="",IF(TITLE_IST_PUB="","",TITLE_IST_PUB),TITLE_IST_PUB_CHANGE)</f>
        <v/>
      </c>
      <c r="W32" s="2212"/>
      <c r="X32" s="2212"/>
      <c r="Y32" s="2212"/>
      <c r="Z32" s="2212"/>
      <c r="AA32" s="2212"/>
      <c r="AB32" s="2212"/>
      <c r="AC32" s="263"/>
      <c r="AD32" s="2212" t="str">
        <f>IF(TITLE_IST_PUB_CHANGE="",IF(TITLE_IST_PUB="","",TITLE_IST_PUB),TITLE_IST_PUB_CHANGE)</f>
        <v/>
      </c>
      <c r="AE32" s="2212"/>
      <c r="AF32" s="2212"/>
      <c r="AG32" s="2212"/>
      <c r="AH32" s="2212"/>
      <c r="AI32" s="2212"/>
      <c r="AJ32" s="221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10" t="s">
        <v>427</v>
      </c>
      <c r="T34" s="2210"/>
      <c r="U34" s="1299"/>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10" t="s">
        <v>428</v>
      </c>
      <c r="T35" s="2210"/>
      <c r="U35" s="1299"/>
      <c r="V35" s="2212" t="str">
        <f>IF(TITLE_NUMBER_PR_CHANGE="",IF(TITLE_NUMBER_PR="","",TITLE_NUMBER_PR),TITLE_NUMBER_PR_CHANGE)</f>
        <v/>
      </c>
      <c r="W35" s="2212"/>
      <c r="X35" s="2212"/>
      <c r="Y35" s="2212"/>
      <c r="Z35" s="2212"/>
      <c r="AA35" s="2212"/>
      <c r="AB35" s="2212"/>
      <c r="AC35" s="263"/>
      <c r="AD35" s="2212" t="str">
        <f>IF(TITLE_NUMBER_PR_CHANGE="",IF(TITLE_NUMBER_PR="","",TITLE_NUMBER_PR),TITLE_NUMBER_PR_CHANGE)</f>
        <v/>
      </c>
      <c r="AE35" s="2212"/>
      <c r="AF35" s="2212"/>
      <c r="AG35" s="2212"/>
      <c r="AH35" s="2212"/>
      <c r="AI35" s="2212"/>
      <c r="AJ35" s="221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231"/>
      <c r="W37" s="2231"/>
      <c r="X37" s="2231"/>
      <c r="Y37" s="2231"/>
      <c r="Z37" s="2231"/>
      <c r="AA37" s="2231"/>
      <c r="AB37" s="2231"/>
      <c r="AC37" s="2231"/>
      <c r="AD37" s="2231"/>
      <c r="AE37" s="2231"/>
      <c r="AF37" s="2231"/>
      <c r="AG37" s="2231"/>
      <c r="AH37" s="2231"/>
      <c r="AI37" s="2231"/>
      <c r="AJ37" s="2231"/>
      <c r="AK37" s="2231"/>
      <c r="AS37" s="1082">
        <v>14</v>
      </c>
    </row>
    <row r="38" spans="1:45" ht="14.65" customHeight="1">
      <c r="Q38" s="313"/>
      <c r="R38" s="313"/>
      <c r="S38" s="2091" t="s">
        <v>302</v>
      </c>
      <c r="T38" s="2091"/>
      <c r="U38" s="2091"/>
      <c r="V38" s="2091"/>
      <c r="W38" s="2091"/>
      <c r="X38" s="2091"/>
      <c r="Y38" s="2091"/>
      <c r="Z38" s="2091"/>
      <c r="AA38" s="2091"/>
      <c r="AB38" s="2091"/>
      <c r="AC38" s="2091"/>
      <c r="AD38" s="2091"/>
      <c r="AE38" s="2091"/>
      <c r="AF38" s="2091"/>
      <c r="AG38" s="2091"/>
      <c r="AH38" s="2091"/>
      <c r="AI38" s="2091"/>
      <c r="AJ38" s="2091"/>
      <c r="AK38" s="2091"/>
      <c r="AL38" s="2091"/>
      <c r="AM38" s="2091" t="s">
        <v>303</v>
      </c>
      <c r="AS38" s="1082">
        <v>14</v>
      </c>
    </row>
    <row r="39" spans="1:45" ht="14.65" customHeight="1">
      <c r="Q39" s="313"/>
      <c r="R39" s="313"/>
      <c r="S39" s="2232" t="s">
        <v>87</v>
      </c>
      <c r="T39" s="2180" t="s">
        <v>430</v>
      </c>
      <c r="U39" s="238"/>
      <c r="V39" s="2233" t="s">
        <v>431</v>
      </c>
      <c r="W39" s="2234"/>
      <c r="X39" s="2249"/>
      <c r="Y39" s="2249"/>
      <c r="Z39" s="2234"/>
      <c r="AA39" s="2234"/>
      <c r="AB39" s="2235"/>
      <c r="AC39" s="2236" t="s">
        <v>432</v>
      </c>
      <c r="AD39" s="2233" t="s">
        <v>431</v>
      </c>
      <c r="AE39" s="2234"/>
      <c r="AF39" s="2249"/>
      <c r="AG39" s="2249"/>
      <c r="AH39" s="2234"/>
      <c r="AI39" s="2234"/>
      <c r="AJ39" s="2235"/>
      <c r="AK39" s="2236" t="s">
        <v>433</v>
      </c>
      <c r="AL39" s="2239" t="s">
        <v>434</v>
      </c>
      <c r="AM39" s="2091"/>
      <c r="AS39" s="1082">
        <v>14</v>
      </c>
    </row>
    <row r="40" spans="1:45" ht="24" customHeight="1">
      <c r="Q40" s="313"/>
      <c r="R40" s="313"/>
      <c r="S40" s="2232"/>
      <c r="T40" s="2180"/>
      <c r="U40" s="961"/>
      <c r="V40" s="2247" t="s">
        <v>435</v>
      </c>
      <c r="W40" s="2151" t="s">
        <v>436</v>
      </c>
      <c r="X40" s="1303" t="s">
        <v>437</v>
      </c>
      <c r="Y40" s="1303"/>
      <c r="Z40" s="2078" t="s">
        <v>438</v>
      </c>
      <c r="AA40" s="2078"/>
      <c r="AB40" s="2072"/>
      <c r="AC40" s="2237"/>
      <c r="AD40" s="2247" t="s">
        <v>435</v>
      </c>
      <c r="AE40" s="2151" t="s">
        <v>436</v>
      </c>
      <c r="AF40" s="1303" t="s">
        <v>437</v>
      </c>
      <c r="AG40" s="1303"/>
      <c r="AH40" s="2078" t="s">
        <v>438</v>
      </c>
      <c r="AI40" s="2078"/>
      <c r="AJ40" s="2072"/>
      <c r="AK40" s="2237"/>
      <c r="AL40" s="2240"/>
      <c r="AM40" s="2091"/>
      <c r="AS40" s="1082">
        <v>23</v>
      </c>
    </row>
    <row r="41" spans="1:45" s="1193" customFormat="1" ht="24"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232"/>
      <c r="T41" s="2180"/>
      <c r="U41" s="239"/>
      <c r="V41" s="2248"/>
      <c r="W41" s="2156"/>
      <c r="X41" s="1300" t="s">
        <v>446</v>
      </c>
      <c r="Y41" s="1300" t="s">
        <v>447</v>
      </c>
      <c r="Z41" s="1261" t="s">
        <v>448</v>
      </c>
      <c r="AA41" s="2185" t="s">
        <v>449</v>
      </c>
      <c r="AB41" s="2199"/>
      <c r="AC41" s="2238"/>
      <c r="AD41" s="2248"/>
      <c r="AE41" s="2156"/>
      <c r="AF41" s="1300" t="s">
        <v>446</v>
      </c>
      <c r="AG41" s="1300" t="s">
        <v>447</v>
      </c>
      <c r="AH41" s="1261" t="s">
        <v>448</v>
      </c>
      <c r="AI41" s="2185" t="s">
        <v>449</v>
      </c>
      <c r="AJ41" s="2199"/>
      <c r="AK41" s="2238"/>
      <c r="AL41" s="2241"/>
      <c r="AM41" s="209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30">
        <f ca="1">OFFSET(AA42,0,-1)+1</f>
        <v>4</v>
      </c>
      <c r="AB42" s="2230"/>
      <c r="AC42" s="1262">
        <f ca="1">OFFSET(AC42,0,-2)+1</f>
        <v>5</v>
      </c>
      <c r="AD42" s="1262">
        <f ca="1">OFFSET(AD42,0,-1)+1</f>
        <v>6</v>
      </c>
      <c r="AE42" s="1262"/>
      <c r="AF42" s="1268">
        <f ca="1">OFFSET(AF42,0,-1)+1</f>
        <v>1</v>
      </c>
      <c r="AG42" s="1268">
        <f ca="1">OFFSET(AG42,0,-1)+1</f>
        <v>2</v>
      </c>
      <c r="AH42" s="1262">
        <f ca="1">OFFSET(AH42,0,-1)+1</f>
        <v>3</v>
      </c>
      <c r="AI42" s="2230">
        <f ca="1">OFFSET(AI42,0,-1)+1</f>
        <v>4</v>
      </c>
      <c r="AJ42" s="2230"/>
      <c r="AK42" s="1262">
        <f ca="1">OFFSET(AK42,0,-2)+1</f>
        <v>5</v>
      </c>
      <c r="AL42" s="1172">
        <f ca="1">OFFSET(AL42,0,-1)</f>
        <v>5</v>
      </c>
      <c r="AM42" s="1262">
        <f ca="1">OFFSET(AM42,0,-1)+1</f>
        <v>6</v>
      </c>
      <c r="AN42" s="448"/>
      <c r="AO42" s="448"/>
      <c r="AP42" s="448"/>
      <c r="AQ42" s="448"/>
      <c r="AR42" s="448"/>
      <c r="AS42" s="433">
        <v>0</v>
      </c>
    </row>
    <row r="43" spans="1:45" ht="21.95" customHeight="1">
      <c r="A43" s="1290" t="s">
        <v>196</v>
      </c>
      <c r="B43" s="1290"/>
      <c r="C43" s="1290"/>
      <c r="D43" s="1290"/>
      <c r="E43" s="221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196</v>
      </c>
      <c r="B44" s="1290" t="s">
        <v>197</v>
      </c>
      <c r="C44" s="1290"/>
      <c r="D44" s="1290"/>
      <c r="E44" s="2220"/>
      <c r="F44" s="2219">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5" t="s">
        <v>400</v>
      </c>
      <c r="AO44" s="437"/>
      <c r="AP44" s="437" t="str">
        <f t="shared" si="1"/>
        <v>Территория действия тарифа</v>
      </c>
      <c r="AQ44" s="437"/>
      <c r="AR44" s="437"/>
      <c r="AS44" s="1082">
        <v>21</v>
      </c>
    </row>
    <row r="45" spans="1:45" ht="24" customHeight="1">
      <c r="A45" s="1290" t="s">
        <v>196</v>
      </c>
      <c r="B45" s="1290" t="s">
        <v>197</v>
      </c>
      <c r="C45" s="1290" t="s">
        <v>198</v>
      </c>
      <c r="D45" s="1290"/>
      <c r="E45" s="2220"/>
      <c r="F45" s="2220"/>
      <c r="G45" s="2219">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5" t="s">
        <v>402</v>
      </c>
      <c r="AO45" s="437"/>
      <c r="AP45" s="437" t="str">
        <f t="shared" si="1"/>
        <v xml:space="preserve">Наименование системы теплоснабжения </v>
      </c>
      <c r="AQ45" s="437"/>
      <c r="AR45" s="437"/>
      <c r="AS45" s="1082">
        <v>23</v>
      </c>
    </row>
    <row r="46" spans="1:45" ht="21.95" customHeight="1">
      <c r="A46" s="1290" t="s">
        <v>196</v>
      </c>
      <c r="B46" s="1290" t="s">
        <v>197</v>
      </c>
      <c r="C46" s="1290" t="s">
        <v>198</v>
      </c>
      <c r="D46" s="1290" t="s">
        <v>199</v>
      </c>
      <c r="E46" s="2220"/>
      <c r="F46" s="2220"/>
      <c r="G46" s="2220"/>
      <c r="H46" s="2219">
        <v>1</v>
      </c>
      <c r="I46" s="1290"/>
      <c r="J46" s="1290"/>
      <c r="K46" s="1290"/>
      <c r="L46" s="1291"/>
      <c r="M46" s="1292"/>
      <c r="N46" s="1292"/>
      <c r="O46" s="1292"/>
      <c r="P46" s="291"/>
      <c r="Q46" s="289"/>
      <c r="R46" s="290"/>
      <c r="S46" s="1263"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5" t="s">
        <v>404</v>
      </c>
      <c r="AO46" s="437"/>
      <c r="AP46" s="437" t="str">
        <f t="shared" si="1"/>
        <v xml:space="preserve">Источник тепловой энергии  </v>
      </c>
      <c r="AQ46" s="437"/>
      <c r="AR46" s="437"/>
      <c r="AS46" s="1082">
        <v>21</v>
      </c>
    </row>
    <row r="47" spans="1:45" ht="49.5" customHeight="1">
      <c r="A47" s="1290" t="s">
        <v>196</v>
      </c>
      <c r="B47" s="1290" t="s">
        <v>197</v>
      </c>
      <c r="C47" s="1290" t="s">
        <v>198</v>
      </c>
      <c r="D47" s="1290" t="s">
        <v>199</v>
      </c>
      <c r="E47" s="2220"/>
      <c r="F47" s="2220"/>
      <c r="G47" s="2220"/>
      <c r="H47" s="2220"/>
      <c r="I47" s="2221" t="str">
        <f>S46&amp;".1"</f>
        <v>....1</v>
      </c>
      <c r="J47" s="1290"/>
      <c r="K47" s="1290"/>
      <c r="L47" s="1291" t="s">
        <v>405</v>
      </c>
      <c r="P47" s="2223">
        <v>1</v>
      </c>
      <c r="Q47" s="1258"/>
      <c r="R47" s="293"/>
      <c r="S47" s="1263" t="str">
        <f>$I47</f>
        <v>....1</v>
      </c>
      <c r="T47" s="222" t="s">
        <v>406</v>
      </c>
      <c r="U47" s="237"/>
      <c r="V47" s="2207"/>
      <c r="W47" s="2208"/>
      <c r="X47" s="2208"/>
      <c r="Y47" s="2208"/>
      <c r="Z47" s="2208"/>
      <c r="AA47" s="2208"/>
      <c r="AB47" s="2208"/>
      <c r="AC47" s="2209"/>
      <c r="AD47" s="2207"/>
      <c r="AE47" s="2208"/>
      <c r="AF47" s="2208"/>
      <c r="AG47" s="2208"/>
      <c r="AH47" s="2208"/>
      <c r="AI47" s="2208"/>
      <c r="AJ47" s="2208"/>
      <c r="AK47" s="2208"/>
      <c r="AL47" s="2209"/>
      <c r="AM47" s="1185" t="s">
        <v>407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196</v>
      </c>
      <c r="B48" s="1290" t="s">
        <v>197</v>
      </c>
      <c r="C48" s="1290" t="s">
        <v>198</v>
      </c>
      <c r="D48" s="1290" t="s">
        <v>199</v>
      </c>
      <c r="E48" s="2220"/>
      <c r="F48" s="2220"/>
      <c r="G48" s="2220"/>
      <c r="H48" s="2220"/>
      <c r="I48" s="2222"/>
      <c r="J48" s="2221" t="str">
        <f>I47&amp;".1"</f>
        <v>....1.1</v>
      </c>
      <c r="K48" s="1290"/>
      <c r="L48" s="1291" t="s">
        <v>408</v>
      </c>
      <c r="P48" s="2223"/>
      <c r="Q48" s="2223">
        <v>1</v>
      </c>
      <c r="R48" s="294"/>
      <c r="S48" s="1263" t="str">
        <f>$J48</f>
        <v>....1.1</v>
      </c>
      <c r="T48" s="223" t="s">
        <v>409</v>
      </c>
      <c r="U48" s="237"/>
      <c r="V48" s="2207"/>
      <c r="W48" s="2208"/>
      <c r="X48" s="2208"/>
      <c r="Y48" s="2208"/>
      <c r="Z48" s="2208"/>
      <c r="AA48" s="2208"/>
      <c r="AB48" s="2208"/>
      <c r="AC48" s="2209"/>
      <c r="AD48" s="2207"/>
      <c r="AE48" s="2208"/>
      <c r="AF48" s="2208"/>
      <c r="AG48" s="2208"/>
      <c r="AH48" s="2208"/>
      <c r="AI48" s="2208"/>
      <c r="AJ48" s="2208"/>
      <c r="AK48" s="2208"/>
      <c r="AL48" s="2209"/>
      <c r="AM48" s="1185" t="s">
        <v>410</v>
      </c>
      <c r="AO48" s="437"/>
      <c r="AP48" s="437" t="str">
        <f t="shared" si="1"/>
        <v>Группа потребителей</v>
      </c>
      <c r="AQ48" s="437"/>
      <c r="AR48" s="437"/>
      <c r="AS48" s="1082">
        <v>21</v>
      </c>
    </row>
    <row r="49" spans="1:45" ht="21.95" customHeight="1">
      <c r="A49" s="1290" t="s">
        <v>196</v>
      </c>
      <c r="B49" s="1290" t="s">
        <v>197</v>
      </c>
      <c r="C49" s="1290" t="s">
        <v>198</v>
      </c>
      <c r="D49" s="1290" t="s">
        <v>199</v>
      </c>
      <c r="E49" s="2220"/>
      <c r="F49" s="2220"/>
      <c r="G49" s="2220"/>
      <c r="H49" s="2220"/>
      <c r="I49" s="2222"/>
      <c r="J49" s="2222"/>
      <c r="K49" s="2221" t="str">
        <f>J48&amp;".1"</f>
        <v>....1.1.1</v>
      </c>
      <c r="L49" s="1291" t="s">
        <v>411</v>
      </c>
      <c r="P49" s="2223"/>
      <c r="Q49" s="2223"/>
      <c r="R49" s="294">
        <v>1</v>
      </c>
      <c r="S49" s="1263" t="str">
        <f>$K49</f>
        <v>....1.1.1</v>
      </c>
      <c r="T49" s="1274"/>
      <c r="U49" s="237"/>
      <c r="V49" s="262"/>
      <c r="W49" s="688"/>
      <c r="X49" s="262"/>
      <c r="Y49" s="321"/>
      <c r="Z49" s="2224"/>
      <c r="AA49" s="2102" t="s">
        <v>65</v>
      </c>
      <c r="AB49" s="2224"/>
      <c r="AC49" s="2102" t="s">
        <v>65</v>
      </c>
      <c r="AD49" s="262"/>
      <c r="AE49" s="688"/>
      <c r="AF49" s="262"/>
      <c r="AG49" s="321"/>
      <c r="AH49" s="2224"/>
      <c r="AI49" s="2102" t="s">
        <v>65</v>
      </c>
      <c r="AJ49" s="2226"/>
      <c r="AK49" s="2102" t="s">
        <v>65</v>
      </c>
      <c r="AL49" s="1275"/>
      <c r="AM49" s="2242" t="s">
        <v>412</v>
      </c>
      <c r="AN49" s="448" t="e">
        <f ca="1">STRCHECKDATE(V50:AL50)</f>
        <v>#NAME?</v>
      </c>
      <c r="AO49" s="437"/>
      <c r="AP49" s="437" t="str">
        <f t="shared" si="1"/>
        <v/>
      </c>
      <c r="AQ49" s="437"/>
      <c r="AR49" s="437"/>
      <c r="AS49" s="1082">
        <v>21</v>
      </c>
    </row>
    <row r="50" spans="1:45" ht="1.1499999999999999" customHeight="1">
      <c r="A50" s="1290" t="s">
        <v>196</v>
      </c>
      <c r="B50" s="1290" t="s">
        <v>197</v>
      </c>
      <c r="C50" s="1290" t="s">
        <v>198</v>
      </c>
      <c r="D50" s="1290" t="s">
        <v>199</v>
      </c>
      <c r="E50" s="2220"/>
      <c r="F50" s="2220"/>
      <c r="G50" s="2220"/>
      <c r="H50" s="2220"/>
      <c r="I50" s="2222"/>
      <c r="J50" s="2222"/>
      <c r="K50" s="2221"/>
      <c r="L50" s="1291"/>
      <c r="P50" s="2223"/>
      <c r="Q50" s="2223"/>
      <c r="R50" s="294"/>
      <c r="S50" s="1269"/>
      <c r="T50" s="237"/>
      <c r="U50" s="237"/>
      <c r="V50" s="262"/>
      <c r="W50" s="262"/>
      <c r="X50" s="262"/>
      <c r="Y50" s="265" t="str">
        <f>Z49&amp;"-"&amp;AB49</f>
        <v>-</v>
      </c>
      <c r="Z50" s="2225"/>
      <c r="AA50" s="2102"/>
      <c r="AB50" s="2225"/>
      <c r="AC50" s="2102"/>
      <c r="AD50" s="262"/>
      <c r="AE50" s="262"/>
      <c r="AF50" s="262"/>
      <c r="AG50" s="265" t="str">
        <f>AH49&amp;"-"&amp;AJ49</f>
        <v>-</v>
      </c>
      <c r="AH50" s="2225"/>
      <c r="AI50" s="2102"/>
      <c r="AJ50" s="2227"/>
      <c r="AK50" s="2102"/>
      <c r="AL50" s="1276"/>
      <c r="AM50" s="2243"/>
      <c r="AO50" s="437"/>
      <c r="AP50" s="437" t="str">
        <f t="shared" si="1"/>
        <v/>
      </c>
      <c r="AQ50" s="437"/>
      <c r="AR50" s="437"/>
      <c r="AS50" s="1082">
        <v>1</v>
      </c>
    </row>
    <row r="51" spans="1:45" ht="11.45" customHeight="1">
      <c r="A51" s="1290" t="s">
        <v>196</v>
      </c>
      <c r="B51" s="1290" t="s">
        <v>197</v>
      </c>
      <c r="C51" s="1290" t="s">
        <v>198</v>
      </c>
      <c r="D51" s="1290" t="s">
        <v>199</v>
      </c>
      <c r="E51" s="2220"/>
      <c r="F51" s="2220"/>
      <c r="G51" s="2220"/>
      <c r="H51" s="2220"/>
      <c r="I51" s="2222"/>
      <c r="J51" s="2221"/>
      <c r="K51" s="1290"/>
      <c r="L51" s="1291"/>
      <c r="P51" s="2223"/>
      <c r="Q51" s="2223"/>
      <c r="R51" s="293"/>
      <c r="S51" s="1205"/>
      <c r="T51" s="225" t="s">
        <v>413</v>
      </c>
      <c r="U51" s="304"/>
      <c r="V51" s="304"/>
      <c r="W51" s="304"/>
      <c r="X51" s="304"/>
      <c r="Y51" s="304"/>
      <c r="Z51" s="304"/>
      <c r="AA51" s="304"/>
      <c r="AB51" s="304"/>
      <c r="AC51" s="304"/>
      <c r="AD51" s="304"/>
      <c r="AE51" s="304"/>
      <c r="AF51" s="304"/>
      <c r="AG51" s="304"/>
      <c r="AH51" s="304"/>
      <c r="AI51" s="304"/>
      <c r="AJ51" s="304"/>
      <c r="AK51" s="304"/>
      <c r="AL51" s="261"/>
      <c r="AM51" s="2244"/>
      <c r="AO51" s="437"/>
      <c r="AP51" s="437" t="str">
        <f t="shared" si="1"/>
        <v>Добавить вид теплоносителя (параметры теплоносителя)</v>
      </c>
      <c r="AQ51" s="437"/>
      <c r="AR51" s="437"/>
      <c r="AS51" s="1082">
        <v>11</v>
      </c>
    </row>
    <row r="52" spans="1:45" ht="11.45" customHeight="1">
      <c r="A52" s="1290" t="s">
        <v>196</v>
      </c>
      <c r="B52" s="1290" t="s">
        <v>197</v>
      </c>
      <c r="C52" s="1290" t="s">
        <v>198</v>
      </c>
      <c r="D52" s="1290" t="s">
        <v>199</v>
      </c>
      <c r="E52" s="2220"/>
      <c r="F52" s="2220"/>
      <c r="G52" s="2220"/>
      <c r="H52" s="2220"/>
      <c r="I52" s="2221"/>
      <c r="J52" s="1290"/>
      <c r="K52" s="1290"/>
      <c r="L52" s="1291"/>
      <c r="P52" s="2223"/>
      <c r="Q52" s="1258"/>
      <c r="R52" s="293"/>
      <c r="S52" s="1205"/>
      <c r="T52" s="224"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196</v>
      </c>
      <c r="B53" s="1290" t="s">
        <v>197</v>
      </c>
      <c r="C53" s="1290" t="s">
        <v>198</v>
      </c>
      <c r="D53" s="1290" t="s">
        <v>199</v>
      </c>
      <c r="E53" s="2220"/>
      <c r="F53" s="2220"/>
      <c r="G53" s="2220"/>
      <c r="H53" s="2219"/>
      <c r="I53" s="1290"/>
      <c r="J53" s="1290"/>
      <c r="K53" s="1290"/>
      <c r="L53" s="1291"/>
      <c r="M53" s="1292"/>
      <c r="N53" s="1292"/>
      <c r="O53" s="474"/>
      <c r="P53" s="297"/>
      <c r="Q53" s="312"/>
      <c r="R53" s="292"/>
      <c r="S53" s="1205"/>
      <c r="T53" s="302" t="s">
        <v>415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196</v>
      </c>
      <c r="B54" s="1270" t="s">
        <v>197</v>
      </c>
      <c r="C54" s="1270" t="s">
        <v>198</v>
      </c>
      <c r="D54" s="1241"/>
      <c r="E54" s="2220"/>
      <c r="F54" s="2220"/>
      <c r="G54" s="2219"/>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196</v>
      </c>
      <c r="B55" s="1270" t="s">
        <v>197</v>
      </c>
      <c r="C55" s="1241"/>
      <c r="D55" s="1241"/>
      <c r="E55" s="2220"/>
      <c r="F55" s="2219"/>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196</v>
      </c>
      <c r="B56" s="1270"/>
      <c r="C56" s="1270"/>
      <c r="D56" s="1270"/>
      <c r="E56" s="2219"/>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2">
        <v>27</v>
      </c>
    </row>
    <row r="60" spans="1:45" ht="78.75"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2">
        <v>75</v>
      </c>
    </row>
    <row r="61" spans="1:45" ht="14.65" customHeight="1">
      <c r="O61" s="474"/>
      <c r="AS61" s="1082">
        <v>14</v>
      </c>
    </row>
    <row r="62" spans="1:45" ht="18.75" customHeight="1">
      <c r="O62" s="474"/>
      <c r="S62" s="1180"/>
      <c r="T62" s="2218"/>
      <c r="U62" s="2218"/>
      <c r="V62" s="2218"/>
      <c r="W62" s="2218"/>
      <c r="X62" s="2218"/>
      <c r="Y62" s="2218"/>
      <c r="Z62" s="2218"/>
      <c r="AA62" s="2218"/>
      <c r="AB62" s="2218"/>
      <c r="AC62" s="2218"/>
      <c r="AD62" s="2218"/>
      <c r="AE62" s="2218"/>
      <c r="AF62" s="2218"/>
      <c r="AG62" s="2218"/>
      <c r="AH62" s="2218"/>
      <c r="AI62" s="2218"/>
      <c r="AJ62" s="2218"/>
      <c r="AK62" s="2218"/>
      <c r="AL62" s="2218"/>
      <c r="AM62" s="2218"/>
      <c r="AS62" s="1082">
        <v>18</v>
      </c>
    </row>
    <row r="63" spans="1:45" ht="18.75" customHeight="1">
      <c r="O63" s="474"/>
      <c r="T63" s="2218"/>
      <c r="U63" s="2218"/>
      <c r="V63" s="2218"/>
      <c r="W63" s="2218"/>
      <c r="X63" s="2218"/>
      <c r="Y63" s="2218"/>
      <c r="Z63" s="2218"/>
      <c r="AA63" s="2218"/>
      <c r="AB63" s="2218"/>
      <c r="AC63" s="2218"/>
      <c r="AD63" s="2218"/>
      <c r="AE63" s="2218"/>
      <c r="AF63" s="2218"/>
      <c r="AG63" s="2218"/>
      <c r="AH63" s="2218"/>
      <c r="AI63" s="2218"/>
      <c r="AJ63" s="2218"/>
      <c r="AK63" s="2218"/>
      <c r="AL63" s="2218"/>
      <c r="AM63" s="2218"/>
      <c r="AS63" s="1082">
        <v>18</v>
      </c>
    </row>
    <row r="64" spans="1:45" ht="39.75" customHeight="1">
      <c r="O64" s="474"/>
      <c r="S64" s="1180"/>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19">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5" t="s">
        <v>398</v>
      </c>
      <c r="AO2" s="437"/>
      <c r="AP2" s="437" t="str">
        <f t="shared" ref="AP2:AP15" si="0">IF(T2="","",T2)</f>
        <v>Наименование тарифа</v>
      </c>
      <c r="AQ2" s="437"/>
      <c r="AR2" s="437"/>
      <c r="AS2" s="1082">
        <v>0</v>
      </c>
    </row>
    <row r="3" spans="1:45" ht="21" hidden="1" customHeight="1">
      <c r="A3" s="1290"/>
      <c r="B3" s="1290"/>
      <c r="C3" s="1290"/>
      <c r="D3" s="1290"/>
      <c r="E3" s="2220"/>
      <c r="F3" s="2219">
        <v>1</v>
      </c>
      <c r="G3" s="1290"/>
      <c r="H3" s="1290"/>
      <c r="I3" s="1290"/>
      <c r="J3" s="1290"/>
      <c r="K3" s="1290"/>
      <c r="L3" s="1291"/>
      <c r="M3" s="1292"/>
      <c r="N3" s="1292"/>
      <c r="O3" s="1292"/>
      <c r="P3" s="1259"/>
      <c r="Q3" s="289"/>
      <c r="R3" s="290"/>
      <c r="S3" s="1263"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5" t="s">
        <v>400</v>
      </c>
      <c r="AO3" s="437"/>
      <c r="AP3" s="437" t="str">
        <f t="shared" si="0"/>
        <v>Территория действия тарифа</v>
      </c>
      <c r="AQ3" s="437"/>
      <c r="AR3" s="437"/>
      <c r="AS3" s="1082">
        <v>0</v>
      </c>
    </row>
    <row r="4" spans="1:45" ht="23.25" hidden="1" customHeight="1">
      <c r="A4" s="1290"/>
      <c r="B4" s="1290"/>
      <c r="C4" s="1290"/>
      <c r="D4" s="1290"/>
      <c r="E4" s="2220"/>
      <c r="F4" s="2220"/>
      <c r="G4" s="2219">
        <v>1</v>
      </c>
      <c r="H4" s="1290"/>
      <c r="I4" s="1290"/>
      <c r="J4" s="1290"/>
      <c r="K4" s="1290"/>
      <c r="L4" s="1291"/>
      <c r="M4" s="1292"/>
      <c r="N4" s="1292"/>
      <c r="O4" s="1292"/>
      <c r="P4" s="291"/>
      <c r="Q4" s="289"/>
      <c r="R4" s="290"/>
      <c r="S4" s="1263"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0"/>
      <c r="F5" s="2220"/>
      <c r="G5" s="2220"/>
      <c r="H5" s="2219">
        <v>1</v>
      </c>
      <c r="I5" s="1290"/>
      <c r="J5" s="1290"/>
      <c r="K5" s="1290"/>
      <c r="L5" s="1291"/>
      <c r="M5" s="1292"/>
      <c r="N5" s="1292"/>
      <c r="O5" s="1292"/>
      <c r="P5" s="291"/>
      <c r="Q5" s="289"/>
      <c r="R5" s="290"/>
      <c r="S5" s="1263"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220"/>
      <c r="F6" s="2220"/>
      <c r="G6" s="2220"/>
      <c r="H6" s="2220"/>
      <c r="I6" s="2221" t="e">
        <f>S5&amp;".1"</f>
        <v>#N/A</v>
      </c>
      <c r="J6" s="1290"/>
      <c r="K6" s="1290"/>
      <c r="L6" s="1291" t="s">
        <v>405</v>
      </c>
      <c r="M6" s="474"/>
      <c r="P6" s="2223">
        <v>1</v>
      </c>
      <c r="Q6" s="1258"/>
      <c r="R6" s="293"/>
      <c r="S6" s="972"/>
      <c r="T6" s="1310"/>
      <c r="U6" s="1311"/>
      <c r="V6" s="2250"/>
      <c r="W6" s="2251"/>
      <c r="X6" s="2251"/>
      <c r="Y6" s="2251"/>
      <c r="Z6" s="2251"/>
      <c r="AA6" s="2251"/>
      <c r="AB6" s="2251"/>
      <c r="AC6" s="2252"/>
      <c r="AD6" s="2250"/>
      <c r="AE6" s="2251"/>
      <c r="AF6" s="2251"/>
      <c r="AG6" s="2251"/>
      <c r="AH6" s="2251"/>
      <c r="AI6" s="2251"/>
      <c r="AJ6" s="2251"/>
      <c r="AK6" s="2251"/>
      <c r="AL6" s="2252"/>
      <c r="AM6" s="1312"/>
      <c r="AO6" s="437"/>
      <c r="AP6" s="437" t="str">
        <f t="shared" si="0"/>
        <v/>
      </c>
      <c r="AQ6" s="437"/>
      <c r="AR6" s="437"/>
      <c r="AS6" s="1082">
        <v>0</v>
      </c>
    </row>
    <row r="7" spans="1:45" ht="21" hidden="1" customHeight="1">
      <c r="A7" s="1290"/>
      <c r="B7" s="1290"/>
      <c r="C7" s="1290"/>
      <c r="D7" s="1290"/>
      <c r="E7" s="2220"/>
      <c r="F7" s="2220"/>
      <c r="G7" s="2220"/>
      <c r="H7" s="2220"/>
      <c r="I7" s="2222"/>
      <c r="J7" s="2221" t="e">
        <f>I6&amp;".1"</f>
        <v>#N/A</v>
      </c>
      <c r="K7" s="1290"/>
      <c r="L7" s="1291" t="s">
        <v>408</v>
      </c>
      <c r="M7" s="474"/>
      <c r="N7" s="1293"/>
      <c r="P7" s="2223"/>
      <c r="Q7" s="2223">
        <v>1</v>
      </c>
      <c r="R7" s="294"/>
      <c r="S7" s="1263" t="e">
        <f>$J7</f>
        <v>#N/A</v>
      </c>
      <c r="T7" s="223" t="s">
        <v>409</v>
      </c>
      <c r="U7" s="237"/>
      <c r="V7" s="2207"/>
      <c r="W7" s="2208"/>
      <c r="X7" s="2208"/>
      <c r="Y7" s="2208"/>
      <c r="Z7" s="2208"/>
      <c r="AA7" s="2208"/>
      <c r="AB7" s="2208"/>
      <c r="AC7" s="2209"/>
      <c r="AD7" s="2207"/>
      <c r="AE7" s="2208"/>
      <c r="AF7" s="2208"/>
      <c r="AG7" s="2208"/>
      <c r="AH7" s="2208"/>
      <c r="AI7" s="2208"/>
      <c r="AJ7" s="2208"/>
      <c r="AK7" s="2208"/>
      <c r="AL7" s="2209"/>
      <c r="AM7" s="1185" t="s">
        <v>410</v>
      </c>
      <c r="AO7" s="437"/>
      <c r="AP7" s="437" t="str">
        <f t="shared" si="0"/>
        <v>Группа потребителей</v>
      </c>
      <c r="AQ7" s="437"/>
      <c r="AR7" s="437"/>
      <c r="AS7" s="1082">
        <v>0</v>
      </c>
    </row>
    <row r="8" spans="1:45" ht="21" hidden="1" customHeight="1">
      <c r="A8" s="1290"/>
      <c r="B8" s="1290"/>
      <c r="C8" s="1290"/>
      <c r="D8" s="1290"/>
      <c r="E8" s="2220"/>
      <c r="F8" s="2220"/>
      <c r="G8" s="2220"/>
      <c r="H8" s="2220"/>
      <c r="I8" s="2222"/>
      <c r="J8" s="2222"/>
      <c r="K8" s="2221" t="e">
        <f>J7&amp;".1"</f>
        <v>#N/A</v>
      </c>
      <c r="L8" s="1291" t="s">
        <v>411</v>
      </c>
      <c r="M8" s="474"/>
      <c r="N8" s="1293"/>
      <c r="O8" s="1293"/>
      <c r="P8" s="2223"/>
      <c r="Q8" s="2223"/>
      <c r="R8" s="294">
        <v>1</v>
      </c>
      <c r="S8" s="1263" t="e">
        <f>$K8</f>
        <v>#N/A</v>
      </c>
      <c r="T8" s="1274"/>
      <c r="U8" s="237"/>
      <c r="V8" s="688"/>
      <c r="W8" s="262"/>
      <c r="X8" s="688"/>
      <c r="Y8" s="1184"/>
      <c r="Z8" s="2224"/>
      <c r="AA8" s="2102" t="s">
        <v>65</v>
      </c>
      <c r="AB8" s="2224"/>
      <c r="AC8" s="2102" t="s">
        <v>65</v>
      </c>
      <c r="AD8" s="688"/>
      <c r="AE8" s="262"/>
      <c r="AF8" s="688"/>
      <c r="AG8" s="1184"/>
      <c r="AH8" s="2224"/>
      <c r="AI8" s="2102" t="s">
        <v>65</v>
      </c>
      <c r="AJ8" s="2224"/>
      <c r="AK8" s="2102" t="s">
        <v>65</v>
      </c>
      <c r="AL8" s="262"/>
      <c r="AM8" s="2242" t="s">
        <v>412</v>
      </c>
      <c r="AN8" s="448" t="e">
        <f ca="1">STRCHECKDATE(V9:AL9)</f>
        <v>#NAME?</v>
      </c>
      <c r="AO8" s="437"/>
      <c r="AP8" s="437" t="str">
        <f t="shared" si="0"/>
        <v/>
      </c>
      <c r="AQ8" s="437"/>
      <c r="AR8" s="437"/>
      <c r="AS8" s="1082">
        <v>0</v>
      </c>
    </row>
    <row r="9" spans="1:45" ht="0.75" hidden="1" customHeight="1">
      <c r="A9" s="1290"/>
      <c r="B9" s="1290"/>
      <c r="C9" s="1290"/>
      <c r="D9" s="1290"/>
      <c r="E9" s="2220"/>
      <c r="F9" s="2220"/>
      <c r="G9" s="2220"/>
      <c r="H9" s="2220"/>
      <c r="I9" s="2222"/>
      <c r="J9" s="2222"/>
      <c r="K9" s="2221"/>
      <c r="L9" s="1291"/>
      <c r="M9" s="474"/>
      <c r="N9" s="1293"/>
      <c r="O9" s="1293"/>
      <c r="P9" s="2223"/>
      <c r="Q9" s="2223"/>
      <c r="R9" s="294"/>
      <c r="S9" s="1269"/>
      <c r="T9" s="237"/>
      <c r="U9" s="237"/>
      <c r="V9" s="262"/>
      <c r="W9" s="262"/>
      <c r="X9" s="262"/>
      <c r="Y9" s="265" t="str">
        <f>Z8&amp;"-"&amp;AB8</f>
        <v>-</v>
      </c>
      <c r="Z9" s="2225"/>
      <c r="AA9" s="2102"/>
      <c r="AB9" s="2225"/>
      <c r="AC9" s="2102"/>
      <c r="AD9" s="262"/>
      <c r="AE9" s="262"/>
      <c r="AF9" s="262"/>
      <c r="AG9" s="265" t="str">
        <f>AH8&amp;"-"&amp;AJ8</f>
        <v>-</v>
      </c>
      <c r="AH9" s="2225"/>
      <c r="AI9" s="2102"/>
      <c r="AJ9" s="2225"/>
      <c r="AK9" s="2102"/>
      <c r="AL9" s="262"/>
      <c r="AM9" s="2243"/>
      <c r="AO9" s="437"/>
      <c r="AP9" s="437" t="str">
        <f t="shared" si="0"/>
        <v/>
      </c>
      <c r="AQ9" s="437"/>
      <c r="AR9" s="437"/>
      <c r="AS9" s="1082">
        <v>0</v>
      </c>
    </row>
    <row r="10" spans="1:45" ht="15" hidden="1" customHeight="1">
      <c r="A10" s="1290"/>
      <c r="B10" s="1290"/>
      <c r="C10" s="1290"/>
      <c r="D10" s="1290"/>
      <c r="E10" s="2220"/>
      <c r="F10" s="2220"/>
      <c r="G10" s="2220"/>
      <c r="H10" s="2220"/>
      <c r="I10" s="2222"/>
      <c r="J10" s="2221"/>
      <c r="K10" s="1290"/>
      <c r="L10" s="1291"/>
      <c r="M10" s="474"/>
      <c r="N10" s="1293"/>
      <c r="P10" s="2223"/>
      <c r="Q10" s="2223"/>
      <c r="R10" s="293"/>
      <c r="S10" s="1205"/>
      <c r="T10" s="224" t="s">
        <v>413</v>
      </c>
      <c r="U10" s="304"/>
      <c r="V10" s="304"/>
      <c r="W10" s="304"/>
      <c r="X10" s="304"/>
      <c r="Y10" s="304"/>
      <c r="Z10" s="304"/>
      <c r="AA10" s="304"/>
      <c r="AB10" s="304"/>
      <c r="AC10" s="304"/>
      <c r="AD10" s="304"/>
      <c r="AE10" s="304"/>
      <c r="AF10" s="304"/>
      <c r="AG10" s="304"/>
      <c r="AH10" s="304"/>
      <c r="AI10" s="304"/>
      <c r="AJ10" s="304"/>
      <c r="AK10" s="304"/>
      <c r="AL10" s="261"/>
      <c r="AM10" s="224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20"/>
      <c r="F11" s="2220"/>
      <c r="G11" s="2220"/>
      <c r="H11" s="2220"/>
      <c r="I11" s="2221"/>
      <c r="J11" s="1290"/>
      <c r="K11" s="1290"/>
      <c r="L11" s="1291"/>
      <c r="M11" s="474"/>
      <c r="P11" s="2223"/>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0"/>
      <c r="F12" s="2220"/>
      <c r="G12" s="2220"/>
      <c r="H12" s="221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0"/>
      <c r="F13" s="2220"/>
      <c r="G13" s="2219"/>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0"/>
      <c r="F14" s="2219"/>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9"/>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7"/>
      <c r="AI17" s="2216" t="s">
        <v>65</v>
      </c>
      <c r="AJ17" s="2217"/>
      <c r="AK17" s="2216" t="s">
        <v>65</v>
      </c>
      <c r="AS17" s="1082">
        <v>0</v>
      </c>
    </row>
    <row r="18" spans="1:45" ht="14.25" hidden="1" customHeight="1">
      <c r="AD18" s="1287"/>
      <c r="AE18" s="1287"/>
      <c r="AF18" s="1287"/>
      <c r="AG18" s="265" t="str">
        <f>AH17&amp;"-"&amp;AJ17</f>
        <v>-</v>
      </c>
      <c r="AH18" s="2216"/>
      <c r="AI18" s="2216"/>
      <c r="AJ18" s="2216"/>
      <c r="AK18" s="2216"/>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0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0"/>
      <c r="U26" s="2200"/>
      <c r="V26" s="2200"/>
      <c r="W26" s="2200"/>
      <c r="X26" s="2200"/>
      <c r="Y26" s="2200"/>
      <c r="Z26" s="2200"/>
      <c r="AA26" s="2200"/>
      <c r="AB26" s="2200"/>
      <c r="AC26" s="2200"/>
      <c r="AD26" s="2200"/>
      <c r="AE26" s="2200"/>
      <c r="AF26" s="2200"/>
      <c r="AG26" s="2200"/>
      <c r="AH26" s="2200"/>
      <c r="AI26" s="2200"/>
      <c r="AJ26" s="2200"/>
      <c r="AK26" s="1170"/>
      <c r="AS26" s="1082">
        <v>60</v>
      </c>
    </row>
    <row r="27" spans="1:45" ht="14.65" customHeight="1">
      <c r="Q27" s="313"/>
      <c r="R27" s="313"/>
      <c r="S27" s="2172" t="str">
        <f>IF(org=0,"Не определено",org)</f>
        <v>МУП "Михайловское водопроводно-канализационное хозяйство"</v>
      </c>
      <c r="T27" s="2172"/>
      <c r="U27" s="2172"/>
      <c r="V27" s="2172"/>
      <c r="W27" s="2172"/>
      <c r="X27" s="2172"/>
      <c r="Y27" s="2172"/>
      <c r="Z27" s="2172"/>
      <c r="AA27" s="2172"/>
      <c r="AB27" s="2172"/>
      <c r="AC27" s="2172"/>
      <c r="AD27" s="2172"/>
      <c r="AE27" s="2172"/>
      <c r="AF27" s="2172"/>
      <c r="AG27" s="2172"/>
      <c r="AH27" s="2172"/>
      <c r="AI27" s="2172"/>
      <c r="AJ27" s="217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10" t="s">
        <v>42</v>
      </c>
      <c r="T29" s="2210"/>
      <c r="U29" s="1299"/>
      <c r="V29" s="2212" t="str">
        <f>IF(TITLE_NAME_OR_PR_CHANGE="",IF(TITLE_NAME_OR_PR="","",TITLE_NAME_OR_PR),TITLE_NAME_OR_PR_CHANGE)</f>
        <v/>
      </c>
      <c r="W29" s="2212"/>
      <c r="X29" s="2212"/>
      <c r="Y29" s="2212"/>
      <c r="Z29" s="2212"/>
      <c r="AA29" s="2212"/>
      <c r="AB29" s="2212"/>
      <c r="AC29" s="263"/>
      <c r="AD29" s="2212" t="str">
        <f>IF(TITLE_NAME_OR_PR_CHANGE="",IF(TITLE_NAME_OR_PR="","",TITLE_NAME_OR_PR),TITLE_NAME_OR_PR_CHANGE)</f>
        <v/>
      </c>
      <c r="AE29" s="2212"/>
      <c r="AF29" s="2212"/>
      <c r="AG29" s="2212"/>
      <c r="AH29" s="2212"/>
      <c r="AI29" s="2212"/>
      <c r="AJ29" s="221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10" t="s">
        <v>425</v>
      </c>
      <c r="T30" s="2210"/>
      <c r="U30" s="1299"/>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10" t="s">
        <v>426</v>
      </c>
      <c r="T31" s="2210"/>
      <c r="U31" s="1299"/>
      <c r="V31" s="2212" t="str">
        <f>IF(TITLE_NUMBER_PR_CHANGE="",IF(TITLE_NUMBER_PR="","",TITLE_NUMBER_PR),TITLE_NUMBER_PR_CHANGE)</f>
        <v/>
      </c>
      <c r="W31" s="2212"/>
      <c r="X31" s="2212"/>
      <c r="Y31" s="2212"/>
      <c r="Z31" s="2212"/>
      <c r="AA31" s="2212"/>
      <c r="AB31" s="2212"/>
      <c r="AC31" s="263"/>
      <c r="AD31" s="2212" t="str">
        <f>IF(TITLE_NUMBER_PR_CHANGE="",IF(TITLE_NUMBER_PR="","",TITLE_NUMBER_PR),TITLE_NUMBER_PR_CHANGE)</f>
        <v/>
      </c>
      <c r="AE31" s="2212"/>
      <c r="AF31" s="2212"/>
      <c r="AG31" s="2212"/>
      <c r="AH31" s="2212"/>
      <c r="AI31" s="2212"/>
      <c r="AJ31" s="221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10" t="s">
        <v>43</v>
      </c>
      <c r="T32" s="2210"/>
      <c r="U32" s="1299"/>
      <c r="V32" s="2212" t="str">
        <f>IF(TITLE_IST_PUB_CHANGE="",IF(TITLE_IST_PUB="","",TITLE_IST_PUB),TITLE_IST_PUB_CHANGE)</f>
        <v/>
      </c>
      <c r="W32" s="2212"/>
      <c r="X32" s="2212"/>
      <c r="Y32" s="2212"/>
      <c r="Z32" s="2212"/>
      <c r="AA32" s="2212"/>
      <c r="AB32" s="2212"/>
      <c r="AC32" s="263"/>
      <c r="AD32" s="2212" t="str">
        <f>IF(TITLE_IST_PUB_CHANGE="",IF(TITLE_IST_PUB="","",TITLE_IST_PUB),TITLE_IST_PUB_CHANGE)</f>
        <v/>
      </c>
      <c r="AE32" s="2212"/>
      <c r="AF32" s="2212"/>
      <c r="AG32" s="2212"/>
      <c r="AH32" s="2212"/>
      <c r="AI32" s="2212"/>
      <c r="AJ32" s="221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10" t="s">
        <v>427</v>
      </c>
      <c r="T34" s="2210"/>
      <c r="U34" s="1299"/>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10" t="s">
        <v>428</v>
      </c>
      <c r="T35" s="2210"/>
      <c r="U35" s="1299"/>
      <c r="V35" s="2212" t="str">
        <f>IF(TITLE_NUMBER_PR_CHANGE="",IF(TITLE_NUMBER_PR="","",TITLE_NUMBER_PR),TITLE_NUMBER_PR_CHANGE)</f>
        <v/>
      </c>
      <c r="W35" s="2212"/>
      <c r="X35" s="2212"/>
      <c r="Y35" s="2212"/>
      <c r="Z35" s="2212"/>
      <c r="AA35" s="2212"/>
      <c r="AB35" s="2212"/>
      <c r="AC35" s="263"/>
      <c r="AD35" s="2212" t="str">
        <f>IF(TITLE_NUMBER_PR_CHANGE="",IF(TITLE_NUMBER_PR="","",TITLE_NUMBER_PR),TITLE_NUMBER_PR_CHANGE)</f>
        <v/>
      </c>
      <c r="AE35" s="2212"/>
      <c r="AF35" s="2212"/>
      <c r="AG35" s="2212"/>
      <c r="AH35" s="2212"/>
      <c r="AI35" s="2212"/>
      <c r="AJ35" s="221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231"/>
      <c r="W37" s="2231"/>
      <c r="X37" s="2231"/>
      <c r="Y37" s="2231"/>
      <c r="Z37" s="2231"/>
      <c r="AA37" s="2231"/>
      <c r="AB37" s="2231"/>
      <c r="AC37" s="2231"/>
      <c r="AD37" s="2231"/>
      <c r="AE37" s="2231"/>
      <c r="AF37" s="2231"/>
      <c r="AG37" s="2231"/>
      <c r="AH37" s="2231"/>
      <c r="AI37" s="2231"/>
      <c r="AJ37" s="2231"/>
      <c r="AK37" s="2231"/>
      <c r="AS37" s="1082">
        <v>14</v>
      </c>
    </row>
    <row r="38" spans="1:45" ht="14.65" customHeight="1">
      <c r="Q38" s="313"/>
      <c r="R38" s="313"/>
      <c r="S38" s="2091" t="s">
        <v>302</v>
      </c>
      <c r="T38" s="2091"/>
      <c r="U38" s="2091"/>
      <c r="V38" s="2091"/>
      <c r="W38" s="2091"/>
      <c r="X38" s="2091"/>
      <c r="Y38" s="2091"/>
      <c r="Z38" s="2091"/>
      <c r="AA38" s="2091"/>
      <c r="AB38" s="2091"/>
      <c r="AC38" s="2091"/>
      <c r="AD38" s="2091"/>
      <c r="AE38" s="2091"/>
      <c r="AF38" s="2091"/>
      <c r="AG38" s="2091"/>
      <c r="AH38" s="2091"/>
      <c r="AI38" s="2091"/>
      <c r="AJ38" s="2091"/>
      <c r="AK38" s="2091"/>
      <c r="AL38" s="2091"/>
      <c r="AM38" s="2091" t="s">
        <v>303</v>
      </c>
      <c r="AS38" s="1082">
        <v>14</v>
      </c>
    </row>
    <row r="39" spans="1:45" ht="14.65" customHeight="1">
      <c r="Q39" s="313"/>
      <c r="R39" s="313"/>
      <c r="S39" s="2232" t="s">
        <v>87</v>
      </c>
      <c r="T39" s="2180" t="s">
        <v>430</v>
      </c>
      <c r="U39" s="238"/>
      <c r="V39" s="2233" t="s">
        <v>431</v>
      </c>
      <c r="W39" s="2234"/>
      <c r="X39" s="2234"/>
      <c r="Y39" s="2234"/>
      <c r="Z39" s="2234"/>
      <c r="AA39" s="2234"/>
      <c r="AB39" s="2235"/>
      <c r="AC39" s="2236" t="s">
        <v>432</v>
      </c>
      <c r="AD39" s="2233" t="s">
        <v>431</v>
      </c>
      <c r="AE39" s="2234"/>
      <c r="AF39" s="2234"/>
      <c r="AG39" s="2234"/>
      <c r="AH39" s="2234"/>
      <c r="AI39" s="2234"/>
      <c r="AJ39" s="2235"/>
      <c r="AK39" s="2236" t="s">
        <v>433</v>
      </c>
      <c r="AL39" s="2239" t="s">
        <v>434</v>
      </c>
      <c r="AM39" s="2091"/>
      <c r="AS39" s="1082">
        <v>14</v>
      </c>
    </row>
    <row r="40" spans="1:45" ht="35.65" customHeight="1">
      <c r="Q40" s="313"/>
      <c r="R40" s="313"/>
      <c r="S40" s="2232"/>
      <c r="T40" s="2180"/>
      <c r="U40" s="961"/>
      <c r="V40" s="2150" t="s">
        <v>435</v>
      </c>
      <c r="W40" s="2228"/>
      <c r="X40" s="2073" t="s">
        <v>437</v>
      </c>
      <c r="Y40" s="2072"/>
      <c r="Z40" s="2073" t="s">
        <v>438</v>
      </c>
      <c r="AA40" s="2078"/>
      <c r="AB40" s="2072"/>
      <c r="AC40" s="2237"/>
      <c r="AD40" s="2150" t="s">
        <v>452</v>
      </c>
      <c r="AE40" s="2228"/>
      <c r="AF40" s="2073" t="s">
        <v>437</v>
      </c>
      <c r="AG40" s="2072"/>
      <c r="AH40" s="2073" t="s">
        <v>438</v>
      </c>
      <c r="AI40" s="2078"/>
      <c r="AJ40" s="2072"/>
      <c r="AK40" s="2237"/>
      <c r="AL40" s="2240"/>
      <c r="AM40" s="2091"/>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2"/>
      <c r="T41" s="2180"/>
      <c r="U41" s="239"/>
      <c r="V41" s="2205"/>
      <c r="W41" s="2229"/>
      <c r="X41" s="1149" t="s">
        <v>446</v>
      </c>
      <c r="Y41" s="1149" t="s">
        <v>447</v>
      </c>
      <c r="Z41" s="1265" t="s">
        <v>448</v>
      </c>
      <c r="AA41" s="2185" t="s">
        <v>449</v>
      </c>
      <c r="AB41" s="2199"/>
      <c r="AC41" s="2238"/>
      <c r="AD41" s="2205"/>
      <c r="AE41" s="2229"/>
      <c r="AF41" s="1149" t="s">
        <v>446</v>
      </c>
      <c r="AG41" s="1149" t="s">
        <v>447</v>
      </c>
      <c r="AH41" s="1265" t="s">
        <v>448</v>
      </c>
      <c r="AI41" s="2185" t="s">
        <v>449</v>
      </c>
      <c r="AJ41" s="2199"/>
      <c r="AK41" s="2238"/>
      <c r="AL41" s="2241"/>
      <c r="AM41" s="209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0">
        <f ca="1">OFFSET(AA42,0,-1)+1</f>
        <v>4</v>
      </c>
      <c r="AB42" s="2230"/>
      <c r="AC42" s="1262">
        <f ca="1">OFFSET(AC42,0,-2)+1</f>
        <v>5</v>
      </c>
      <c r="AD42" s="1262">
        <f ca="1">OFFSET(AD42,0,-1)+1</f>
        <v>6</v>
      </c>
      <c r="AE42" s="1262"/>
      <c r="AF42" s="1262">
        <f ca="1">OFFSET(AF42,0,-1)+1</f>
        <v>1</v>
      </c>
      <c r="AG42" s="1262">
        <f ca="1">OFFSET(AG42,0,-1)+1</f>
        <v>2</v>
      </c>
      <c r="AH42" s="1262">
        <f ca="1">OFFSET(AH42,0,-1)+1</f>
        <v>3</v>
      </c>
      <c r="AI42" s="2230">
        <f ca="1">OFFSET(AI42,0,-1)+1</f>
        <v>4</v>
      </c>
      <c r="AJ42" s="2230"/>
      <c r="AK42" s="1262">
        <f ca="1">OFFSET(AK42,0,-2)+1</f>
        <v>5</v>
      </c>
      <c r="AL42" s="1172">
        <f ca="1">OFFSET(AL42,0,-1)</f>
        <v>5</v>
      </c>
      <c r="AM42" s="1262">
        <f ca="1">OFFSET(AM42,0,-1)+1</f>
        <v>6</v>
      </c>
      <c r="AN42" s="448"/>
      <c r="AO42" s="448"/>
      <c r="AP42" s="448"/>
      <c r="AQ42" s="448"/>
      <c r="AR42" s="448"/>
      <c r="AS42" s="433">
        <v>0</v>
      </c>
    </row>
    <row r="43" spans="1:45" ht="21.95" customHeight="1">
      <c r="A43" s="1290" t="s">
        <v>172</v>
      </c>
      <c r="B43" s="1290"/>
      <c r="C43" s="1290"/>
      <c r="D43" s="1290"/>
      <c r="E43" s="221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172</v>
      </c>
      <c r="B44" s="1290" t="s">
        <v>173</v>
      </c>
      <c r="C44" s="1290"/>
      <c r="D44" s="1290"/>
      <c r="E44" s="2220"/>
      <c r="F44" s="2219">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5" t="s">
        <v>400</v>
      </c>
      <c r="AO44" s="437"/>
      <c r="AP44" s="437" t="str">
        <f t="shared" si="1"/>
        <v>Территория действия тарифа</v>
      </c>
      <c r="AQ44" s="437"/>
      <c r="AR44" s="437"/>
      <c r="AS44" s="1082">
        <v>21</v>
      </c>
    </row>
    <row r="45" spans="1:45" ht="24" customHeight="1">
      <c r="A45" s="1290" t="s">
        <v>172</v>
      </c>
      <c r="B45" s="1290" t="s">
        <v>173</v>
      </c>
      <c r="C45" s="1290" t="s">
        <v>174</v>
      </c>
      <c r="D45" s="1290"/>
      <c r="E45" s="2220"/>
      <c r="F45" s="2220"/>
      <c r="G45" s="2219">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5" t="s">
        <v>402</v>
      </c>
      <c r="AO45" s="437"/>
      <c r="AP45" s="437" t="str">
        <f t="shared" si="1"/>
        <v xml:space="preserve">Наименование системы теплоснабжения </v>
      </c>
      <c r="AQ45" s="437"/>
      <c r="AR45" s="437"/>
      <c r="AS45" s="1082">
        <v>23</v>
      </c>
    </row>
    <row r="46" spans="1:45" ht="21.95" customHeight="1">
      <c r="A46" s="1290" t="s">
        <v>172</v>
      </c>
      <c r="B46" s="1290" t="s">
        <v>173</v>
      </c>
      <c r="C46" s="1290" t="s">
        <v>174</v>
      </c>
      <c r="D46" s="1290" t="s">
        <v>175</v>
      </c>
      <c r="E46" s="2220"/>
      <c r="F46" s="2220"/>
      <c r="G46" s="2220"/>
      <c r="H46" s="2219">
        <v>1</v>
      </c>
      <c r="I46" s="1290"/>
      <c r="J46" s="1290"/>
      <c r="K46" s="1290"/>
      <c r="L46" s="1291"/>
      <c r="M46" s="1292"/>
      <c r="N46" s="1292"/>
      <c r="O46" s="1292"/>
      <c r="P46" s="291"/>
      <c r="Q46" s="289"/>
      <c r="R46" s="290"/>
      <c r="S46" s="1263"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5" t="s">
        <v>404</v>
      </c>
      <c r="AO46" s="437"/>
      <c r="AP46" s="437" t="str">
        <f t="shared" si="1"/>
        <v xml:space="preserve">Источник тепловой энергии  </v>
      </c>
      <c r="AQ46" s="437"/>
      <c r="AR46" s="437"/>
      <c r="AS46" s="1082">
        <v>21</v>
      </c>
    </row>
    <row r="47" spans="1:45" s="1569" customFormat="1" ht="0" hidden="1" customHeight="1">
      <c r="A47" s="1270" t="s">
        <v>172</v>
      </c>
      <c r="B47" s="1270" t="s">
        <v>173</v>
      </c>
      <c r="C47" s="1270" t="s">
        <v>174</v>
      </c>
      <c r="D47" s="1270" t="s">
        <v>175</v>
      </c>
      <c r="E47" s="2220"/>
      <c r="F47" s="2220"/>
      <c r="G47" s="2220"/>
      <c r="H47" s="2220"/>
      <c r="I47" s="2221" t="str">
        <f>S46&amp;".1"</f>
        <v>....1</v>
      </c>
      <c r="J47" s="1270"/>
      <c r="K47" s="1270"/>
      <c r="L47" s="1273" t="s">
        <v>405</v>
      </c>
      <c r="M47" s="447"/>
      <c r="N47" s="447"/>
      <c r="O47" s="447"/>
      <c r="P47" s="2223">
        <v>1</v>
      </c>
      <c r="Q47" s="1258"/>
      <c r="R47" s="293"/>
      <c r="S47" s="972"/>
      <c r="T47" s="1310"/>
      <c r="U47" s="1311"/>
      <c r="V47" s="2250"/>
      <c r="W47" s="2251"/>
      <c r="X47" s="2251"/>
      <c r="Y47" s="2251"/>
      <c r="Z47" s="2251"/>
      <c r="AA47" s="2251"/>
      <c r="AB47" s="2251"/>
      <c r="AC47" s="2252"/>
      <c r="AD47" s="2250"/>
      <c r="AE47" s="2251"/>
      <c r="AF47" s="2251"/>
      <c r="AG47" s="2251"/>
      <c r="AH47" s="2251"/>
      <c r="AI47" s="2251"/>
      <c r="AJ47" s="2251"/>
      <c r="AK47" s="2251"/>
      <c r="AL47" s="2252"/>
      <c r="AM47" s="1312"/>
      <c r="AO47" s="437"/>
      <c r="AP47" s="437" t="str">
        <f t="shared" si="1"/>
        <v/>
      </c>
      <c r="AQ47" s="437"/>
      <c r="AR47" s="437"/>
      <c r="AS47" s="448">
        <v>0</v>
      </c>
    </row>
    <row r="48" spans="1:45" ht="21.95" customHeight="1">
      <c r="A48" s="1290" t="s">
        <v>172</v>
      </c>
      <c r="B48" s="1290" t="s">
        <v>173</v>
      </c>
      <c r="C48" s="1290" t="s">
        <v>174</v>
      </c>
      <c r="D48" s="1290" t="s">
        <v>175</v>
      </c>
      <c r="E48" s="2220"/>
      <c r="F48" s="2220"/>
      <c r="G48" s="2220"/>
      <c r="H48" s="2220"/>
      <c r="I48" s="2222"/>
      <c r="J48" s="2221" t="str">
        <f>S46&amp;".1"</f>
        <v>....1</v>
      </c>
      <c r="K48" s="1290"/>
      <c r="L48" s="1291" t="s">
        <v>408</v>
      </c>
      <c r="P48" s="2223"/>
      <c r="Q48" s="2223">
        <v>1</v>
      </c>
      <c r="R48" s="294"/>
      <c r="S48" s="1263" t="str">
        <f>$J48</f>
        <v>....1</v>
      </c>
      <c r="T48" s="223" t="s">
        <v>409</v>
      </c>
      <c r="U48" s="237"/>
      <c r="V48" s="2207"/>
      <c r="W48" s="2208"/>
      <c r="X48" s="2208"/>
      <c r="Y48" s="2208"/>
      <c r="Z48" s="2208"/>
      <c r="AA48" s="2208"/>
      <c r="AB48" s="2208"/>
      <c r="AC48" s="2209"/>
      <c r="AD48" s="2207"/>
      <c r="AE48" s="2208"/>
      <c r="AF48" s="2208"/>
      <c r="AG48" s="2208"/>
      <c r="AH48" s="2208"/>
      <c r="AI48" s="2208"/>
      <c r="AJ48" s="2208"/>
      <c r="AK48" s="2208"/>
      <c r="AL48" s="2209"/>
      <c r="AM48" s="1185" t="s">
        <v>410</v>
      </c>
      <c r="AO48" s="437"/>
      <c r="AP48" s="437" t="str">
        <f t="shared" si="1"/>
        <v>Группа потребителей</v>
      </c>
      <c r="AQ48" s="437"/>
      <c r="AR48" s="437"/>
      <c r="AS48" s="1082">
        <v>21</v>
      </c>
    </row>
    <row r="49" spans="1:45" ht="21.95" customHeight="1">
      <c r="A49" s="1290" t="s">
        <v>172</v>
      </c>
      <c r="B49" s="1290" t="s">
        <v>173</v>
      </c>
      <c r="C49" s="1290" t="s">
        <v>174</v>
      </c>
      <c r="D49" s="1290" t="s">
        <v>175</v>
      </c>
      <c r="E49" s="2220"/>
      <c r="F49" s="2220"/>
      <c r="G49" s="2220"/>
      <c r="H49" s="2220"/>
      <c r="I49" s="2222"/>
      <c r="J49" s="2222"/>
      <c r="K49" s="2221" t="str">
        <f>J48&amp;".1"</f>
        <v>....1.1</v>
      </c>
      <c r="L49" s="1291" t="s">
        <v>411</v>
      </c>
      <c r="P49" s="2223"/>
      <c r="Q49" s="2223"/>
      <c r="R49" s="294">
        <v>1</v>
      </c>
      <c r="S49" s="1263" t="str">
        <f>$K49</f>
        <v>....1.1</v>
      </c>
      <c r="T49" s="1274"/>
      <c r="U49" s="237"/>
      <c r="V49" s="688"/>
      <c r="W49" s="262"/>
      <c r="X49" s="688"/>
      <c r="Y49" s="1184"/>
      <c r="Z49" s="2224"/>
      <c r="AA49" s="2102" t="s">
        <v>65</v>
      </c>
      <c r="AB49" s="2224"/>
      <c r="AC49" s="2102" t="s">
        <v>65</v>
      </c>
      <c r="AD49" s="688"/>
      <c r="AE49" s="262"/>
      <c r="AF49" s="688"/>
      <c r="AG49" s="1184"/>
      <c r="AH49" s="2224"/>
      <c r="AI49" s="2102" t="s">
        <v>65</v>
      </c>
      <c r="AJ49" s="2226"/>
      <c r="AK49" s="2102" t="s">
        <v>65</v>
      </c>
      <c r="AL49" s="1275"/>
      <c r="AM49" s="2242" t="s">
        <v>453</v>
      </c>
      <c r="AN49" s="448" t="e">
        <f ca="1">STRCHECKDATE(V50:AL50)</f>
        <v>#NAME?</v>
      </c>
      <c r="AO49" s="437"/>
      <c r="AP49" s="437" t="str">
        <f t="shared" si="1"/>
        <v/>
      </c>
      <c r="AQ49" s="437"/>
      <c r="AR49" s="437"/>
      <c r="AS49" s="1082">
        <v>21</v>
      </c>
    </row>
    <row r="50" spans="1:45" ht="1.1499999999999999" customHeight="1">
      <c r="A50" s="1290" t="s">
        <v>172</v>
      </c>
      <c r="B50" s="1290" t="s">
        <v>173</v>
      </c>
      <c r="C50" s="1290" t="s">
        <v>174</v>
      </c>
      <c r="D50" s="1290" t="s">
        <v>175</v>
      </c>
      <c r="E50" s="2220"/>
      <c r="F50" s="2220"/>
      <c r="G50" s="2220"/>
      <c r="H50" s="2220"/>
      <c r="I50" s="2222"/>
      <c r="J50" s="2222"/>
      <c r="K50" s="2221"/>
      <c r="L50" s="1291"/>
      <c r="P50" s="2223"/>
      <c r="Q50" s="2223"/>
      <c r="R50" s="294"/>
      <c r="S50" s="1269"/>
      <c r="T50" s="237"/>
      <c r="U50" s="237"/>
      <c r="V50" s="262"/>
      <c r="W50" s="262"/>
      <c r="X50" s="262"/>
      <c r="Y50" s="265" t="str">
        <f>Z49&amp;"-"&amp;AB49</f>
        <v>-</v>
      </c>
      <c r="Z50" s="2225"/>
      <c r="AA50" s="2102"/>
      <c r="AB50" s="2225"/>
      <c r="AC50" s="2102"/>
      <c r="AD50" s="262"/>
      <c r="AE50" s="262"/>
      <c r="AF50" s="262"/>
      <c r="AG50" s="265" t="str">
        <f>AH49&amp;"-"&amp;AJ49</f>
        <v>-</v>
      </c>
      <c r="AH50" s="2225"/>
      <c r="AI50" s="2102"/>
      <c r="AJ50" s="2227"/>
      <c r="AK50" s="2102"/>
      <c r="AL50" s="1276"/>
      <c r="AM50" s="2243"/>
      <c r="AO50" s="437"/>
      <c r="AP50" s="437" t="str">
        <f t="shared" si="1"/>
        <v/>
      </c>
      <c r="AQ50" s="437"/>
      <c r="AR50" s="437"/>
      <c r="AS50" s="1082">
        <v>1</v>
      </c>
    </row>
    <row r="51" spans="1:45" ht="11.45" customHeight="1">
      <c r="A51" s="1290" t="s">
        <v>172</v>
      </c>
      <c r="B51" s="1290" t="s">
        <v>173</v>
      </c>
      <c r="C51" s="1290" t="s">
        <v>174</v>
      </c>
      <c r="D51" s="1290" t="s">
        <v>175</v>
      </c>
      <c r="E51" s="2220"/>
      <c r="F51" s="2220"/>
      <c r="G51" s="2220"/>
      <c r="H51" s="2220"/>
      <c r="I51" s="2222"/>
      <c r="J51" s="2221"/>
      <c r="K51" s="1290"/>
      <c r="L51" s="1291"/>
      <c r="P51" s="2223"/>
      <c r="Q51" s="2223"/>
      <c r="R51" s="293"/>
      <c r="S51" s="1205"/>
      <c r="T51" s="224" t="s">
        <v>413</v>
      </c>
      <c r="U51" s="304"/>
      <c r="V51" s="304"/>
      <c r="W51" s="304"/>
      <c r="X51" s="304"/>
      <c r="Y51" s="304"/>
      <c r="Z51" s="304"/>
      <c r="AA51" s="304"/>
      <c r="AB51" s="304"/>
      <c r="AC51" s="304"/>
      <c r="AD51" s="304"/>
      <c r="AE51" s="304"/>
      <c r="AF51" s="304"/>
      <c r="AG51" s="304"/>
      <c r="AH51" s="304"/>
      <c r="AI51" s="304"/>
      <c r="AJ51" s="304"/>
      <c r="AK51" s="304"/>
      <c r="AL51" s="261"/>
      <c r="AM51" s="2244"/>
      <c r="AO51" s="437"/>
      <c r="AP51" s="437" t="str">
        <f t="shared" si="1"/>
        <v>Добавить вид теплоносителя (параметры теплоносителя)</v>
      </c>
      <c r="AQ51" s="437"/>
      <c r="AR51" s="437"/>
      <c r="AS51" s="1082">
        <v>11</v>
      </c>
    </row>
    <row r="52" spans="1:45" ht="11.45" customHeight="1">
      <c r="A52" s="1290" t="s">
        <v>172</v>
      </c>
      <c r="B52" s="1290" t="s">
        <v>173</v>
      </c>
      <c r="C52" s="1290" t="s">
        <v>174</v>
      </c>
      <c r="D52" s="1290" t="s">
        <v>175</v>
      </c>
      <c r="E52" s="2220"/>
      <c r="F52" s="2220"/>
      <c r="G52" s="2220"/>
      <c r="H52" s="2220"/>
      <c r="I52" s="2221"/>
      <c r="J52" s="1290"/>
      <c r="K52" s="1290"/>
      <c r="L52" s="1291"/>
      <c r="P52" s="2223"/>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172</v>
      </c>
      <c r="B53" s="1290" t="s">
        <v>173</v>
      </c>
      <c r="C53" s="1290" t="s">
        <v>174</v>
      </c>
      <c r="D53" s="1290" t="s">
        <v>175</v>
      </c>
      <c r="E53" s="2220"/>
      <c r="F53" s="2220"/>
      <c r="G53" s="2220"/>
      <c r="H53" s="221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172</v>
      </c>
      <c r="B54" s="1270" t="s">
        <v>173</v>
      </c>
      <c r="C54" s="1270" t="s">
        <v>174</v>
      </c>
      <c r="D54" s="1241"/>
      <c r="E54" s="2220"/>
      <c r="F54" s="2220"/>
      <c r="G54" s="2219"/>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172</v>
      </c>
      <c r="B55" s="1270" t="s">
        <v>173</v>
      </c>
      <c r="C55" s="1241"/>
      <c r="D55" s="1241"/>
      <c r="E55" s="2220"/>
      <c r="F55" s="2219"/>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172</v>
      </c>
      <c r="B56" s="1270"/>
      <c r="C56" s="1270"/>
      <c r="D56" s="1270"/>
      <c r="E56" s="2219"/>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2">
        <v>19</v>
      </c>
    </row>
    <row r="60" spans="1:45" ht="29.25"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2">
        <v>28</v>
      </c>
    </row>
    <row r="61" spans="1:45" ht="42" customHeight="1">
      <c r="O61" s="474"/>
      <c r="T61" s="2218"/>
      <c r="U61" s="2218"/>
      <c r="V61" s="2218"/>
      <c r="W61" s="2218"/>
      <c r="X61" s="2218"/>
      <c r="Y61" s="2218"/>
      <c r="Z61" s="2218"/>
      <c r="AA61" s="2218"/>
      <c r="AB61" s="2218"/>
      <c r="AC61" s="2218"/>
      <c r="AD61" s="2218"/>
      <c r="AE61" s="2218"/>
      <c r="AF61" s="2218"/>
      <c r="AG61" s="2218"/>
      <c r="AH61" s="2218"/>
      <c r="AI61" s="2218"/>
      <c r="AJ61" s="2218"/>
      <c r="AK61" s="2218"/>
      <c r="AL61" s="2218"/>
      <c r="AM61" s="2218"/>
      <c r="AS61" s="1082">
        <v>40</v>
      </c>
    </row>
    <row r="62" spans="1:45" ht="14.65" customHeight="1">
      <c r="O62" s="474"/>
      <c r="AS62" s="1082">
        <v>14</v>
      </c>
    </row>
    <row r="63" spans="1:45" ht="21" customHeight="1">
      <c r="O63" s="474"/>
      <c r="S63" s="1180"/>
      <c r="T63" s="2131"/>
      <c r="U63" s="2218"/>
      <c r="V63" s="2218"/>
      <c r="W63" s="2218"/>
      <c r="X63" s="2218"/>
      <c r="Y63" s="2218"/>
      <c r="Z63" s="2218"/>
      <c r="AA63" s="2218"/>
      <c r="AB63" s="2218"/>
      <c r="AC63" s="2218"/>
      <c r="AD63" s="2218"/>
      <c r="AE63" s="2218"/>
      <c r="AF63" s="2218"/>
      <c r="AG63" s="2218"/>
      <c r="AH63" s="2218"/>
      <c r="AI63" s="2218"/>
      <c r="AJ63" s="2218"/>
      <c r="AK63" s="2218"/>
      <c r="AL63" s="2218"/>
      <c r="AM63" s="2218"/>
      <c r="AS63" s="1082">
        <v>20</v>
      </c>
    </row>
    <row r="64" spans="1:45" ht="29.25" customHeight="1">
      <c r="O64" s="474"/>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2">
        <v>28</v>
      </c>
    </row>
    <row r="65" spans="1:45" ht="35.65" customHeight="1">
      <c r="T65" s="2218"/>
      <c r="U65" s="2218"/>
      <c r="V65" s="2218"/>
      <c r="W65" s="2218"/>
      <c r="X65" s="2218"/>
      <c r="Y65" s="2218"/>
      <c r="Z65" s="2218"/>
      <c r="AA65" s="2218"/>
      <c r="AB65" s="2218"/>
      <c r="AC65" s="2218"/>
      <c r="AD65" s="2218"/>
      <c r="AE65" s="2218"/>
      <c r="AF65" s="2218"/>
      <c r="AG65" s="2218"/>
      <c r="AH65" s="2218"/>
      <c r="AI65" s="2218"/>
      <c r="AJ65" s="2218"/>
      <c r="AK65" s="2218"/>
      <c r="AL65" s="2218"/>
      <c r="AM65" s="221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219">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5" t="s">
        <v>398</v>
      </c>
      <c r="AO2" s="437"/>
      <c r="AP2" s="437" t="str">
        <f t="shared" ref="AP2:AP15" si="0">IF(T2="","",T2)</f>
        <v>Наименование тарифа</v>
      </c>
      <c r="AQ2" s="437"/>
      <c r="AR2" s="437"/>
      <c r="AS2" s="1082">
        <v>0</v>
      </c>
    </row>
    <row r="3" spans="1:45" ht="21" hidden="1" customHeight="1">
      <c r="A3" s="1290"/>
      <c r="B3" s="1290"/>
      <c r="C3" s="1290"/>
      <c r="D3" s="1290"/>
      <c r="E3" s="2220"/>
      <c r="F3" s="2219">
        <v>1</v>
      </c>
      <c r="G3" s="1290"/>
      <c r="H3" s="1290"/>
      <c r="I3" s="1290"/>
      <c r="J3" s="1290"/>
      <c r="K3" s="1290"/>
      <c r="L3" s="1291"/>
      <c r="M3" s="1292"/>
      <c r="N3" s="1292"/>
      <c r="O3" s="1292"/>
      <c r="P3" s="1259"/>
      <c r="Q3" s="289"/>
      <c r="R3" s="290"/>
      <c r="S3" s="1263"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5" t="s">
        <v>400</v>
      </c>
      <c r="AO3" s="437"/>
      <c r="AP3" s="437" t="str">
        <f t="shared" si="0"/>
        <v>Территория действия тарифа</v>
      </c>
      <c r="AQ3" s="437"/>
      <c r="AR3" s="437"/>
      <c r="AS3" s="1082">
        <v>0</v>
      </c>
    </row>
    <row r="4" spans="1:45" ht="23.25" hidden="1" customHeight="1">
      <c r="A4" s="1290"/>
      <c r="B4" s="1290"/>
      <c r="C4" s="1290"/>
      <c r="D4" s="1290"/>
      <c r="E4" s="2220"/>
      <c r="F4" s="2220"/>
      <c r="G4" s="2219">
        <v>1</v>
      </c>
      <c r="H4" s="1290"/>
      <c r="I4" s="1290"/>
      <c r="J4" s="1290"/>
      <c r="K4" s="1290"/>
      <c r="L4" s="1291"/>
      <c r="M4" s="1292"/>
      <c r="N4" s="1292"/>
      <c r="O4" s="1292"/>
      <c r="P4" s="291"/>
      <c r="Q4" s="289"/>
      <c r="R4" s="290"/>
      <c r="S4" s="1931" t="e">
        <f>INDEX(PT_DIFFERENTIATION_NUM_CS,MATCH(C4,PT_DIFFERENTIATION_CS_ID,0))</f>
        <v>#N/A</v>
      </c>
      <c r="T4" s="1935" t="s">
        <v>401</v>
      </c>
      <c r="U4" s="1936"/>
      <c r="V4" s="2255"/>
      <c r="W4" s="2256"/>
      <c r="X4" s="2256"/>
      <c r="Y4" s="2256"/>
      <c r="Z4" s="2256"/>
      <c r="AA4" s="2256"/>
      <c r="AB4" s="2256"/>
      <c r="AC4" s="2257"/>
      <c r="AD4" s="2255" t="e">
        <f>INDEX(PT_DIFFERENTIATION_CS,MATCH(C4,PT_DIFFERENTIATION_CS_ID,0))</f>
        <v>#N/A</v>
      </c>
      <c r="AE4" s="2256"/>
      <c r="AF4" s="2256"/>
      <c r="AG4" s="2256"/>
      <c r="AH4" s="2256"/>
      <c r="AI4" s="2256"/>
      <c r="AJ4" s="2256"/>
      <c r="AK4" s="2256"/>
      <c r="AL4" s="2257"/>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0"/>
      <c r="F5" s="2220"/>
      <c r="G5" s="2220"/>
      <c r="H5" s="2219">
        <v>1</v>
      </c>
      <c r="I5" s="1290"/>
      <c r="J5" s="1290"/>
      <c r="K5" s="1290"/>
      <c r="L5" s="1291"/>
      <c r="M5" s="1292"/>
      <c r="N5" s="1292"/>
      <c r="O5" s="1292"/>
      <c r="P5" s="291"/>
      <c r="Q5" s="289"/>
      <c r="R5" s="1562"/>
      <c r="S5" s="1930" t="e">
        <f>INDEX(PT_DIFFERENTIATION_NUM_IST_TE,MATCH(D5,PT_DIFFERENTIATION_IST_TE_ID,0))</f>
        <v>#N/A</v>
      </c>
      <c r="T5" s="247" t="s">
        <v>403</v>
      </c>
      <c r="U5" s="237"/>
      <c r="V5" s="2258"/>
      <c r="W5" s="2258"/>
      <c r="X5" s="2258"/>
      <c r="Y5" s="2258"/>
      <c r="Z5" s="2258"/>
      <c r="AA5" s="2258"/>
      <c r="AB5" s="2258"/>
      <c r="AC5" s="2258"/>
      <c r="AD5" s="2258" t="e">
        <f>INDEX(PT_DIFFERENTIATION_IST_TE,MATCH(D5,PT_DIFFERENTIATION_IST_TE_ID,0))</f>
        <v>#N/A</v>
      </c>
      <c r="AE5" s="2258"/>
      <c r="AF5" s="2258"/>
      <c r="AG5" s="2258"/>
      <c r="AH5" s="2258"/>
      <c r="AI5" s="2258"/>
      <c r="AJ5" s="2258"/>
      <c r="AK5" s="2258"/>
      <c r="AL5" s="2258"/>
      <c r="AM5" s="1933" t="s">
        <v>404</v>
      </c>
      <c r="AO5" s="437"/>
      <c r="AP5" s="437" t="str">
        <f t="shared" si="0"/>
        <v xml:space="preserve">Источник тепловой энергии  </v>
      </c>
      <c r="AQ5" s="437"/>
      <c r="AR5" s="437"/>
      <c r="AS5" s="1082">
        <v>0</v>
      </c>
    </row>
    <row r="6" spans="1:45" ht="0.75" hidden="1" customHeight="1">
      <c r="A6" s="1290"/>
      <c r="B6" s="1290"/>
      <c r="C6" s="1290"/>
      <c r="D6" s="1290"/>
      <c r="E6" s="2220"/>
      <c r="F6" s="2220"/>
      <c r="G6" s="2220"/>
      <c r="H6" s="2220"/>
      <c r="I6" s="2221" t="e">
        <f>S5&amp;".1"</f>
        <v>#N/A</v>
      </c>
      <c r="J6" s="1290"/>
      <c r="K6" s="1290"/>
      <c r="L6" s="1291" t="s">
        <v>405</v>
      </c>
      <c r="M6" s="474"/>
      <c r="P6" s="2223">
        <v>1</v>
      </c>
      <c r="Q6" s="1258"/>
      <c r="R6" s="1929"/>
      <c r="S6" s="972"/>
      <c r="T6" s="1310"/>
      <c r="U6" s="1311"/>
      <c r="V6" s="2259"/>
      <c r="W6" s="2259"/>
      <c r="X6" s="2259"/>
      <c r="Y6" s="2259"/>
      <c r="Z6" s="2259"/>
      <c r="AA6" s="2259"/>
      <c r="AB6" s="2259"/>
      <c r="AC6" s="2259"/>
      <c r="AD6" s="2259"/>
      <c r="AE6" s="2259"/>
      <c r="AF6" s="2259"/>
      <c r="AG6" s="2259"/>
      <c r="AH6" s="2259"/>
      <c r="AI6" s="2259"/>
      <c r="AJ6" s="2259"/>
      <c r="AK6" s="2259"/>
      <c r="AL6" s="2259"/>
      <c r="AM6" s="1934"/>
      <c r="AO6" s="437"/>
      <c r="AP6" s="437" t="str">
        <f t="shared" si="0"/>
        <v/>
      </c>
      <c r="AQ6" s="437"/>
      <c r="AR6" s="437"/>
      <c r="AS6" s="1082">
        <v>0</v>
      </c>
    </row>
    <row r="7" spans="1:45" ht="84" hidden="1" customHeight="1">
      <c r="A7" s="1290"/>
      <c r="B7" s="1290"/>
      <c r="C7" s="1290"/>
      <c r="D7" s="1290"/>
      <c r="E7" s="2220"/>
      <c r="F7" s="2220"/>
      <c r="G7" s="2220"/>
      <c r="H7" s="2220"/>
      <c r="I7" s="2222"/>
      <c r="J7" s="2221" t="e">
        <f>I6&amp;".1"</f>
        <v>#N/A</v>
      </c>
      <c r="K7" s="1290"/>
      <c r="L7" s="1291" t="s">
        <v>408</v>
      </c>
      <c r="M7" s="474"/>
      <c r="N7" s="1293"/>
      <c r="P7" s="2223"/>
      <c r="Q7" s="2223">
        <v>1</v>
      </c>
      <c r="R7" s="1569"/>
      <c r="S7" s="1930" t="e">
        <f>$J7</f>
        <v>#N/A</v>
      </c>
      <c r="T7" s="223" t="s">
        <v>409</v>
      </c>
      <c r="U7" s="237"/>
      <c r="V7" s="2253"/>
      <c r="W7" s="2253"/>
      <c r="X7" s="2253"/>
      <c r="Y7" s="2253"/>
      <c r="Z7" s="2253"/>
      <c r="AA7" s="2253"/>
      <c r="AB7" s="2253"/>
      <c r="AC7" s="2253"/>
      <c r="AD7" s="2253"/>
      <c r="AE7" s="2253"/>
      <c r="AF7" s="2253"/>
      <c r="AG7" s="2253"/>
      <c r="AH7" s="2253"/>
      <c r="AI7" s="2253"/>
      <c r="AJ7" s="2253"/>
      <c r="AK7" s="2253"/>
      <c r="AL7" s="2253"/>
      <c r="AM7" s="1933" t="s">
        <v>410</v>
      </c>
      <c r="AO7" s="437"/>
      <c r="AP7" s="437" t="str">
        <f t="shared" si="0"/>
        <v>Группа потребителей</v>
      </c>
      <c r="AQ7" s="437"/>
      <c r="AR7" s="437"/>
      <c r="AS7" s="1082">
        <v>0</v>
      </c>
    </row>
    <row r="8" spans="1:45" ht="11.25" hidden="1" customHeight="1">
      <c r="A8" s="1290"/>
      <c r="B8" s="1290"/>
      <c r="C8" s="1290"/>
      <c r="D8" s="1290"/>
      <c r="E8" s="2220"/>
      <c r="F8" s="2220"/>
      <c r="G8" s="2220"/>
      <c r="H8" s="2220"/>
      <c r="I8" s="2222"/>
      <c r="J8" s="2222"/>
      <c r="K8" s="2221" t="e">
        <f>J7&amp;".1"</f>
        <v>#N/A</v>
      </c>
      <c r="L8" s="1291" t="s">
        <v>411</v>
      </c>
      <c r="M8" s="474"/>
      <c r="N8" s="1293"/>
      <c r="O8" s="1293"/>
      <c r="P8" s="2223"/>
      <c r="Q8" s="2223"/>
      <c r="R8" s="294">
        <v>1</v>
      </c>
      <c r="S8" s="1932" t="e">
        <f>$K8</f>
        <v>#N/A</v>
      </c>
      <c r="T8" s="1937"/>
      <c r="U8" s="1938"/>
      <c r="V8" s="1939"/>
      <c r="W8" s="1276"/>
      <c r="X8" s="1939"/>
      <c r="Y8" s="1940"/>
      <c r="Z8" s="2254"/>
      <c r="AA8" s="2107" t="s">
        <v>65</v>
      </c>
      <c r="AB8" s="2254"/>
      <c r="AC8" s="2107" t="s">
        <v>65</v>
      </c>
      <c r="AD8" s="1939"/>
      <c r="AE8" s="1276"/>
      <c r="AF8" s="1939"/>
      <c r="AG8" s="1940"/>
      <c r="AH8" s="2254"/>
      <c r="AI8" s="2107" t="s">
        <v>65</v>
      </c>
      <c r="AJ8" s="2254"/>
      <c r="AK8" s="2107" t="s">
        <v>65</v>
      </c>
      <c r="AL8" s="1276"/>
      <c r="AM8" s="2242" t="s">
        <v>412</v>
      </c>
      <c r="AN8" s="448" t="e">
        <f ca="1">STRCHECKDATE(V9:AL9)</f>
        <v>#NAME?</v>
      </c>
      <c r="AO8" s="437"/>
      <c r="AP8" s="437" t="str">
        <f t="shared" si="0"/>
        <v/>
      </c>
      <c r="AQ8" s="437"/>
      <c r="AR8" s="437"/>
      <c r="AS8" s="1082">
        <v>0</v>
      </c>
    </row>
    <row r="9" spans="1:45" ht="0.75" hidden="1" customHeight="1">
      <c r="A9" s="1290"/>
      <c r="B9" s="1290"/>
      <c r="C9" s="1290"/>
      <c r="D9" s="1290"/>
      <c r="E9" s="2220"/>
      <c r="F9" s="2220"/>
      <c r="G9" s="2220"/>
      <c r="H9" s="2220"/>
      <c r="I9" s="2222"/>
      <c r="J9" s="2222"/>
      <c r="K9" s="2221"/>
      <c r="L9" s="1291"/>
      <c r="M9" s="474"/>
      <c r="N9" s="1293"/>
      <c r="O9" s="1293"/>
      <c r="P9" s="2223"/>
      <c r="Q9" s="2223"/>
      <c r="R9" s="294"/>
      <c r="S9" s="1269"/>
      <c r="T9" s="237"/>
      <c r="U9" s="237"/>
      <c r="V9" s="262"/>
      <c r="W9" s="262"/>
      <c r="X9" s="262"/>
      <c r="Y9" s="265" t="str">
        <f>Z8&amp;"-"&amp;AB8</f>
        <v>-</v>
      </c>
      <c r="Z9" s="2225"/>
      <c r="AA9" s="2102"/>
      <c r="AB9" s="2225"/>
      <c r="AC9" s="2102"/>
      <c r="AD9" s="262"/>
      <c r="AE9" s="262"/>
      <c r="AF9" s="262"/>
      <c r="AG9" s="265" t="str">
        <f>AH8&amp;"-"&amp;AJ8</f>
        <v>-</v>
      </c>
      <c r="AH9" s="2225"/>
      <c r="AI9" s="2102"/>
      <c r="AJ9" s="2225"/>
      <c r="AK9" s="2102"/>
      <c r="AL9" s="262"/>
      <c r="AM9" s="2243"/>
      <c r="AO9" s="437"/>
      <c r="AP9" s="437" t="str">
        <f t="shared" si="0"/>
        <v/>
      </c>
      <c r="AQ9" s="437"/>
      <c r="AR9" s="437"/>
      <c r="AS9" s="1082">
        <v>0</v>
      </c>
    </row>
    <row r="10" spans="1:45" ht="11.25" hidden="1" customHeight="1">
      <c r="A10" s="1290"/>
      <c r="B10" s="1290"/>
      <c r="C10" s="1290"/>
      <c r="D10" s="1290"/>
      <c r="E10" s="2220"/>
      <c r="F10" s="2220"/>
      <c r="G10" s="2220"/>
      <c r="H10" s="2220"/>
      <c r="I10" s="2222"/>
      <c r="J10" s="2221"/>
      <c r="K10" s="1290"/>
      <c r="L10" s="1291"/>
      <c r="M10" s="474"/>
      <c r="N10" s="1293"/>
      <c r="P10" s="2223"/>
      <c r="Q10" s="2223"/>
      <c r="R10" s="293"/>
      <c r="S10" s="1205"/>
      <c r="T10" s="224" t="s">
        <v>413</v>
      </c>
      <c r="U10" s="304"/>
      <c r="V10" s="304"/>
      <c r="W10" s="304"/>
      <c r="X10" s="304"/>
      <c r="Y10" s="304"/>
      <c r="Z10" s="304"/>
      <c r="AA10" s="304"/>
      <c r="AB10" s="304"/>
      <c r="AC10" s="304"/>
      <c r="AD10" s="304"/>
      <c r="AE10" s="304"/>
      <c r="AF10" s="304"/>
      <c r="AG10" s="304"/>
      <c r="AH10" s="304"/>
      <c r="AI10" s="304"/>
      <c r="AJ10" s="304"/>
      <c r="AK10" s="304"/>
      <c r="AL10" s="261"/>
      <c r="AM10" s="224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0"/>
      <c r="F11" s="2220"/>
      <c r="G11" s="2220"/>
      <c r="H11" s="2220"/>
      <c r="I11" s="2221"/>
      <c r="J11" s="1290"/>
      <c r="K11" s="1290"/>
      <c r="L11" s="1291"/>
      <c r="M11" s="474"/>
      <c r="P11" s="2223"/>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20"/>
      <c r="F12" s="2220"/>
      <c r="G12" s="2220"/>
      <c r="H12" s="221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20"/>
      <c r="F13" s="2220"/>
      <c r="G13" s="2219"/>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20"/>
      <c r="F14" s="2219"/>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19"/>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7"/>
      <c r="AI17" s="2216" t="s">
        <v>65</v>
      </c>
      <c r="AJ17" s="2217"/>
      <c r="AK17" s="2216" t="s">
        <v>65</v>
      </c>
      <c r="AS17" s="1082">
        <v>0</v>
      </c>
    </row>
    <row r="18" spans="1:45" ht="14.25" hidden="1" customHeight="1">
      <c r="AD18" s="1287"/>
      <c r="AE18" s="1287"/>
      <c r="AF18" s="1287"/>
      <c r="AG18" s="265" t="str">
        <f>AH17&amp;"-"&amp;AJ17</f>
        <v>-</v>
      </c>
      <c r="AH18" s="2216"/>
      <c r="AI18" s="2216"/>
      <c r="AJ18" s="2216"/>
      <c r="AK18" s="2216"/>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4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49"/>
      <c r="U26" s="2149"/>
      <c r="V26" s="2149"/>
      <c r="W26" s="2149"/>
      <c r="X26" s="2149"/>
      <c r="Y26" s="2149"/>
      <c r="Z26" s="2149"/>
      <c r="AA26" s="2149"/>
      <c r="AB26" s="2149"/>
      <c r="AC26" s="2149"/>
      <c r="AD26" s="2149"/>
      <c r="AE26" s="2149"/>
      <c r="AF26" s="2149"/>
      <c r="AG26" s="2149"/>
      <c r="AH26" s="2149"/>
      <c r="AI26" s="2149"/>
      <c r="AJ26" s="2149"/>
      <c r="AK26" s="1170"/>
      <c r="AS26" s="1082">
        <v>52</v>
      </c>
    </row>
    <row r="27" spans="1:45" ht="14.65" customHeight="1">
      <c r="Q27" s="313"/>
      <c r="R27" s="313"/>
      <c r="S27" s="2172" t="str">
        <f>IF(org=0,"Не определено",org)</f>
        <v>МУП "Михайловское водопроводно-канализационное хозяйство"</v>
      </c>
      <c r="T27" s="2172"/>
      <c r="U27" s="2172"/>
      <c r="V27" s="2172"/>
      <c r="W27" s="2172"/>
      <c r="X27" s="2172"/>
      <c r="Y27" s="2172"/>
      <c r="Z27" s="2172"/>
      <c r="AA27" s="2172"/>
      <c r="AB27" s="2172"/>
      <c r="AC27" s="2172"/>
      <c r="AD27" s="2172"/>
      <c r="AE27" s="2172"/>
      <c r="AF27" s="2172"/>
      <c r="AG27" s="2172"/>
      <c r="AH27" s="2172"/>
      <c r="AI27" s="2172"/>
      <c r="AJ27" s="217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10" t="s">
        <v>42</v>
      </c>
      <c r="T29" s="2210"/>
      <c r="U29" s="1299"/>
      <c r="V29" s="2212" t="str">
        <f>IF(TITLE_NAME_OR_PR_CHANGE="",IF(TITLE_NAME_OR_PR="","",TITLE_NAME_OR_PR),TITLE_NAME_OR_PR_CHANGE)</f>
        <v/>
      </c>
      <c r="W29" s="2212"/>
      <c r="X29" s="2212"/>
      <c r="Y29" s="2212"/>
      <c r="Z29" s="2212"/>
      <c r="AA29" s="2212"/>
      <c r="AB29" s="2212"/>
      <c r="AC29" s="263"/>
      <c r="AD29" s="2212" t="str">
        <f>IF(TITLE_NAME_OR_PR_CHANGE="",IF(TITLE_NAME_OR_PR="","",TITLE_NAME_OR_PR),TITLE_NAME_OR_PR_CHANGE)</f>
        <v/>
      </c>
      <c r="AE29" s="2212"/>
      <c r="AF29" s="2212"/>
      <c r="AG29" s="2212"/>
      <c r="AH29" s="2212"/>
      <c r="AI29" s="2212"/>
      <c r="AJ29" s="221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10" t="s">
        <v>425</v>
      </c>
      <c r="T30" s="2210"/>
      <c r="U30" s="1299"/>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10" t="s">
        <v>426</v>
      </c>
      <c r="T31" s="2210"/>
      <c r="U31" s="1299"/>
      <c r="V31" s="2212" t="str">
        <f>IF(TITLE_NUMBER_PR_CHANGE="",IF(TITLE_NUMBER_PR="","",TITLE_NUMBER_PR),TITLE_NUMBER_PR_CHANGE)</f>
        <v/>
      </c>
      <c r="W31" s="2212"/>
      <c r="X31" s="2212"/>
      <c r="Y31" s="2212"/>
      <c r="Z31" s="2212"/>
      <c r="AA31" s="2212"/>
      <c r="AB31" s="2212"/>
      <c r="AC31" s="263"/>
      <c r="AD31" s="2212" t="str">
        <f>IF(TITLE_NUMBER_PR_CHANGE="",IF(TITLE_NUMBER_PR="","",TITLE_NUMBER_PR),TITLE_NUMBER_PR_CHANGE)</f>
        <v/>
      </c>
      <c r="AE31" s="2212"/>
      <c r="AF31" s="2212"/>
      <c r="AG31" s="2212"/>
      <c r="AH31" s="2212"/>
      <c r="AI31" s="2212"/>
      <c r="AJ31" s="221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10" t="s">
        <v>43</v>
      </c>
      <c r="T32" s="2210"/>
      <c r="U32" s="1299"/>
      <c r="V32" s="2212" t="str">
        <f>IF(TITLE_IST_PUB_CHANGE="",IF(TITLE_IST_PUB="","",TITLE_IST_PUB),TITLE_IST_PUB_CHANGE)</f>
        <v/>
      </c>
      <c r="W32" s="2212"/>
      <c r="X32" s="2212"/>
      <c r="Y32" s="2212"/>
      <c r="Z32" s="2212"/>
      <c r="AA32" s="2212"/>
      <c r="AB32" s="2212"/>
      <c r="AC32" s="263"/>
      <c r="AD32" s="2212" t="str">
        <f>IF(TITLE_IST_PUB_CHANGE="",IF(TITLE_IST_PUB="","",TITLE_IST_PUB),TITLE_IST_PUB_CHANGE)</f>
        <v/>
      </c>
      <c r="AE32" s="2212"/>
      <c r="AF32" s="2212"/>
      <c r="AG32" s="2212"/>
      <c r="AH32" s="2212"/>
      <c r="AI32" s="2212"/>
      <c r="AJ32" s="221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10" t="s">
        <v>427</v>
      </c>
      <c r="T34" s="2210"/>
      <c r="U34" s="1299"/>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10" t="s">
        <v>428</v>
      </c>
      <c r="T35" s="2210"/>
      <c r="U35" s="1299"/>
      <c r="V35" s="2212" t="str">
        <f>IF(TITLE_NUMBER_PR_CHANGE="",IF(TITLE_NUMBER_PR="","",TITLE_NUMBER_PR),TITLE_NUMBER_PR_CHANGE)</f>
        <v/>
      </c>
      <c r="W35" s="2212"/>
      <c r="X35" s="2212"/>
      <c r="Y35" s="2212"/>
      <c r="Z35" s="2212"/>
      <c r="AA35" s="2212"/>
      <c r="AB35" s="2212"/>
      <c r="AC35" s="263"/>
      <c r="AD35" s="2212" t="str">
        <f>IF(TITLE_NUMBER_PR_CHANGE="",IF(TITLE_NUMBER_PR="","",TITLE_NUMBER_PR),TITLE_NUMBER_PR_CHANGE)</f>
        <v/>
      </c>
      <c r="AE35" s="2212"/>
      <c r="AF35" s="2212"/>
      <c r="AG35" s="2212"/>
      <c r="AH35" s="2212"/>
      <c r="AI35" s="2212"/>
      <c r="AJ35" s="221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231"/>
      <c r="W37" s="2231"/>
      <c r="X37" s="2231"/>
      <c r="Y37" s="2231"/>
      <c r="Z37" s="2231"/>
      <c r="AA37" s="2231"/>
      <c r="AB37" s="2231"/>
      <c r="AC37" s="2231"/>
      <c r="AD37" s="2231"/>
      <c r="AE37" s="2231"/>
      <c r="AF37" s="2231"/>
      <c r="AG37" s="2231"/>
      <c r="AH37" s="2231"/>
      <c r="AI37" s="2231"/>
      <c r="AJ37" s="2231"/>
      <c r="AK37" s="2231"/>
      <c r="AS37" s="1082">
        <v>14</v>
      </c>
    </row>
    <row r="38" spans="1:45" ht="14.65" customHeight="1">
      <c r="Q38" s="313"/>
      <c r="R38" s="313"/>
      <c r="S38" s="2091" t="s">
        <v>302</v>
      </c>
      <c r="T38" s="2091"/>
      <c r="U38" s="2091"/>
      <c r="V38" s="2091"/>
      <c r="W38" s="2091"/>
      <c r="X38" s="2091"/>
      <c r="Y38" s="2091"/>
      <c r="Z38" s="2091"/>
      <c r="AA38" s="2091"/>
      <c r="AB38" s="2091"/>
      <c r="AC38" s="2091"/>
      <c r="AD38" s="2091"/>
      <c r="AE38" s="2091"/>
      <c r="AF38" s="2091"/>
      <c r="AG38" s="2091"/>
      <c r="AH38" s="2091"/>
      <c r="AI38" s="2091"/>
      <c r="AJ38" s="2091"/>
      <c r="AK38" s="2091"/>
      <c r="AL38" s="2091"/>
      <c r="AM38" s="2091" t="s">
        <v>303</v>
      </c>
      <c r="AS38" s="1082">
        <v>14</v>
      </c>
    </row>
    <row r="39" spans="1:45" ht="14.65" customHeight="1">
      <c r="Q39" s="313"/>
      <c r="R39" s="313"/>
      <c r="S39" s="2232" t="s">
        <v>87</v>
      </c>
      <c r="T39" s="2180" t="s">
        <v>430</v>
      </c>
      <c r="U39" s="238"/>
      <c r="V39" s="2233" t="s">
        <v>431</v>
      </c>
      <c r="W39" s="2234"/>
      <c r="X39" s="2234"/>
      <c r="Y39" s="2234"/>
      <c r="Z39" s="2234"/>
      <c r="AA39" s="2234"/>
      <c r="AB39" s="2235"/>
      <c r="AC39" s="2236" t="s">
        <v>432</v>
      </c>
      <c r="AD39" s="2233" t="s">
        <v>431</v>
      </c>
      <c r="AE39" s="2234"/>
      <c r="AF39" s="2234"/>
      <c r="AG39" s="2234"/>
      <c r="AH39" s="2234"/>
      <c r="AI39" s="2234"/>
      <c r="AJ39" s="2235"/>
      <c r="AK39" s="2236" t="s">
        <v>433</v>
      </c>
      <c r="AL39" s="2239" t="s">
        <v>434</v>
      </c>
      <c r="AM39" s="2091"/>
      <c r="AS39" s="1082">
        <v>14</v>
      </c>
    </row>
    <row r="40" spans="1:45" ht="35.65" customHeight="1">
      <c r="Q40" s="313"/>
      <c r="R40" s="313"/>
      <c r="S40" s="2232"/>
      <c r="T40" s="2180"/>
      <c r="U40" s="961"/>
      <c r="V40" s="2150" t="s">
        <v>435</v>
      </c>
      <c r="W40" s="2228"/>
      <c r="X40" s="2073" t="s">
        <v>437</v>
      </c>
      <c r="Y40" s="2072"/>
      <c r="Z40" s="2073" t="s">
        <v>438</v>
      </c>
      <c r="AA40" s="2078"/>
      <c r="AB40" s="2072"/>
      <c r="AC40" s="2237"/>
      <c r="AD40" s="2150" t="s">
        <v>452</v>
      </c>
      <c r="AE40" s="2228"/>
      <c r="AF40" s="2073" t="s">
        <v>437</v>
      </c>
      <c r="AG40" s="2072"/>
      <c r="AH40" s="2073" t="s">
        <v>438</v>
      </c>
      <c r="AI40" s="2078"/>
      <c r="AJ40" s="2072"/>
      <c r="AK40" s="2237"/>
      <c r="AL40" s="2240"/>
      <c r="AM40" s="2091"/>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2"/>
      <c r="T41" s="2180"/>
      <c r="U41" s="239"/>
      <c r="V41" s="2205"/>
      <c r="W41" s="2229"/>
      <c r="X41" s="1149" t="s">
        <v>446</v>
      </c>
      <c r="Y41" s="1149" t="s">
        <v>447</v>
      </c>
      <c r="Z41" s="1265" t="s">
        <v>448</v>
      </c>
      <c r="AA41" s="2185" t="s">
        <v>449</v>
      </c>
      <c r="AB41" s="2199"/>
      <c r="AC41" s="2238"/>
      <c r="AD41" s="2205"/>
      <c r="AE41" s="2229"/>
      <c r="AF41" s="1149" t="s">
        <v>446</v>
      </c>
      <c r="AG41" s="1149" t="s">
        <v>447</v>
      </c>
      <c r="AH41" s="1265" t="s">
        <v>448</v>
      </c>
      <c r="AI41" s="2185" t="s">
        <v>449</v>
      </c>
      <c r="AJ41" s="2199"/>
      <c r="AK41" s="2238"/>
      <c r="AL41" s="2241"/>
      <c r="AM41" s="209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0">
        <f ca="1">OFFSET(AA42,0,-1)+1</f>
        <v>4</v>
      </c>
      <c r="AB42" s="2230"/>
      <c r="AC42" s="1262">
        <f ca="1">OFFSET(AC42,0,-2)+1</f>
        <v>5</v>
      </c>
      <c r="AD42" s="1262">
        <f ca="1">OFFSET(AD42,0,-1)+1</f>
        <v>6</v>
      </c>
      <c r="AE42" s="1262"/>
      <c r="AF42" s="1262">
        <f ca="1">OFFSET(AF42,0,-1)+1</f>
        <v>1</v>
      </c>
      <c r="AG42" s="1262">
        <f ca="1">OFFSET(AG42,0,-1)+1</f>
        <v>2</v>
      </c>
      <c r="AH42" s="1262">
        <f ca="1">OFFSET(AH42,0,-1)+1</f>
        <v>3</v>
      </c>
      <c r="AI42" s="2230">
        <f ca="1">OFFSET(AI42,0,-1)+1</f>
        <v>4</v>
      </c>
      <c r="AJ42" s="2230"/>
      <c r="AK42" s="1262">
        <f ca="1">OFFSET(AK42,0,-2)+1</f>
        <v>5</v>
      </c>
      <c r="AL42" s="1172">
        <f ca="1">OFFSET(AL42,0,-1)</f>
        <v>5</v>
      </c>
      <c r="AM42" s="1262">
        <f ca="1">OFFSET(AM42,0,-1)+1</f>
        <v>6</v>
      </c>
      <c r="AN42" s="448"/>
      <c r="AO42" s="448"/>
      <c r="AP42" s="448"/>
      <c r="AQ42" s="448"/>
      <c r="AR42" s="448"/>
      <c r="AS42" s="433">
        <v>0</v>
      </c>
    </row>
    <row r="43" spans="1:45" ht="21.95" customHeight="1">
      <c r="A43" s="1290" t="s">
        <v>184</v>
      </c>
      <c r="B43" s="1290"/>
      <c r="C43" s="1290"/>
      <c r="D43" s="1290"/>
      <c r="E43" s="221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184</v>
      </c>
      <c r="B44" s="1290" t="s">
        <v>185</v>
      </c>
      <c r="C44" s="1290"/>
      <c r="D44" s="1290"/>
      <c r="E44" s="2220"/>
      <c r="F44" s="2219">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5" t="s">
        <v>400</v>
      </c>
      <c r="AO44" s="437"/>
      <c r="AP44" s="437" t="str">
        <f t="shared" si="1"/>
        <v>Территория действия тарифа</v>
      </c>
      <c r="AQ44" s="437"/>
      <c r="AR44" s="437"/>
      <c r="AS44" s="1082">
        <v>21</v>
      </c>
    </row>
    <row r="45" spans="1:45" ht="24" customHeight="1">
      <c r="A45" s="1290" t="s">
        <v>184</v>
      </c>
      <c r="B45" s="1290" t="s">
        <v>185</v>
      </c>
      <c r="C45" s="1290" t="s">
        <v>186</v>
      </c>
      <c r="D45" s="1290"/>
      <c r="E45" s="2220"/>
      <c r="F45" s="2220"/>
      <c r="G45" s="2219">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5" t="s">
        <v>402</v>
      </c>
      <c r="AO45" s="437"/>
      <c r="AP45" s="437" t="str">
        <f t="shared" si="1"/>
        <v xml:space="preserve">Наименование системы теплоснабжения </v>
      </c>
      <c r="AQ45" s="437"/>
      <c r="AR45" s="437"/>
      <c r="AS45" s="1082">
        <v>23</v>
      </c>
    </row>
    <row r="46" spans="1:45" ht="21.95" customHeight="1">
      <c r="A46" s="1290" t="s">
        <v>184</v>
      </c>
      <c r="B46" s="1290" t="s">
        <v>185</v>
      </c>
      <c r="C46" s="1290" t="s">
        <v>186</v>
      </c>
      <c r="D46" s="1290" t="s">
        <v>187</v>
      </c>
      <c r="E46" s="2220"/>
      <c r="F46" s="2220"/>
      <c r="G46" s="2220"/>
      <c r="H46" s="2219">
        <v>1</v>
      </c>
      <c r="I46" s="1290"/>
      <c r="J46" s="1290"/>
      <c r="K46" s="1290"/>
      <c r="L46" s="1291"/>
      <c r="M46" s="1292"/>
      <c r="N46" s="1292"/>
      <c r="O46" s="1292"/>
      <c r="P46" s="291"/>
      <c r="Q46" s="289"/>
      <c r="R46" s="290"/>
      <c r="S46" s="1263"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5" t="s">
        <v>404</v>
      </c>
      <c r="AO46" s="437"/>
      <c r="AP46" s="437" t="str">
        <f t="shared" si="1"/>
        <v xml:space="preserve">Источник тепловой энергии  </v>
      </c>
      <c r="AQ46" s="437"/>
      <c r="AR46" s="437"/>
      <c r="AS46" s="1082">
        <v>21</v>
      </c>
    </row>
    <row r="47" spans="1:45" s="1569" customFormat="1" ht="0" hidden="1" customHeight="1">
      <c r="A47" s="1270" t="s">
        <v>184</v>
      </c>
      <c r="B47" s="1270" t="s">
        <v>185</v>
      </c>
      <c r="C47" s="1270" t="s">
        <v>186</v>
      </c>
      <c r="D47" s="1270" t="s">
        <v>187</v>
      </c>
      <c r="E47" s="2220"/>
      <c r="F47" s="2220"/>
      <c r="G47" s="2220"/>
      <c r="H47" s="2220"/>
      <c r="I47" s="2221" t="str">
        <f>S46&amp;".1"</f>
        <v>....1</v>
      </c>
      <c r="J47" s="1270"/>
      <c r="K47" s="1270"/>
      <c r="L47" s="1273" t="s">
        <v>405</v>
      </c>
      <c r="M47" s="447"/>
      <c r="N47" s="447"/>
      <c r="O47" s="447"/>
      <c r="P47" s="2223">
        <v>1</v>
      </c>
      <c r="Q47" s="1258"/>
      <c r="R47" s="293"/>
      <c r="S47" s="972"/>
      <c r="T47" s="1310"/>
      <c r="U47" s="1311"/>
      <c r="V47" s="2250"/>
      <c r="W47" s="2251"/>
      <c r="X47" s="2251"/>
      <c r="Y47" s="2251"/>
      <c r="Z47" s="2251"/>
      <c r="AA47" s="2251"/>
      <c r="AB47" s="2251"/>
      <c r="AC47" s="2252"/>
      <c r="AD47" s="2250"/>
      <c r="AE47" s="2251"/>
      <c r="AF47" s="2251"/>
      <c r="AG47" s="2251"/>
      <c r="AH47" s="2251"/>
      <c r="AI47" s="2251"/>
      <c r="AJ47" s="2251"/>
      <c r="AK47" s="2251"/>
      <c r="AL47" s="2252"/>
      <c r="AM47" s="1312"/>
      <c r="AO47" s="437"/>
      <c r="AP47" s="437" t="str">
        <f t="shared" si="1"/>
        <v/>
      </c>
      <c r="AQ47" s="437"/>
      <c r="AR47" s="437"/>
      <c r="AS47" s="448">
        <v>0</v>
      </c>
    </row>
    <row r="48" spans="1:45" ht="21.95" customHeight="1">
      <c r="A48" s="1290" t="s">
        <v>184</v>
      </c>
      <c r="B48" s="1290" t="s">
        <v>185</v>
      </c>
      <c r="C48" s="1290" t="s">
        <v>186</v>
      </c>
      <c r="D48" s="1290" t="s">
        <v>187</v>
      </c>
      <c r="E48" s="2220"/>
      <c r="F48" s="2220"/>
      <c r="G48" s="2220"/>
      <c r="H48" s="2220"/>
      <c r="I48" s="2222"/>
      <c r="J48" s="2221" t="str">
        <f>S46&amp;".1"</f>
        <v>....1</v>
      </c>
      <c r="K48" s="1290"/>
      <c r="L48" s="1291" t="s">
        <v>408</v>
      </c>
      <c r="P48" s="2223"/>
      <c r="Q48" s="2223">
        <v>1</v>
      </c>
      <c r="R48" s="294"/>
      <c r="S48" s="1263" t="str">
        <f>$J48</f>
        <v>....1</v>
      </c>
      <c r="T48" s="223" t="s">
        <v>409</v>
      </c>
      <c r="U48" s="237"/>
      <c r="V48" s="2207"/>
      <c r="W48" s="2208"/>
      <c r="X48" s="2208"/>
      <c r="Y48" s="2208"/>
      <c r="Z48" s="2208"/>
      <c r="AA48" s="2208"/>
      <c r="AB48" s="2208"/>
      <c r="AC48" s="2209"/>
      <c r="AD48" s="2207"/>
      <c r="AE48" s="2208"/>
      <c r="AF48" s="2208"/>
      <c r="AG48" s="2208"/>
      <c r="AH48" s="2208"/>
      <c r="AI48" s="2208"/>
      <c r="AJ48" s="2208"/>
      <c r="AK48" s="2208"/>
      <c r="AL48" s="2209"/>
      <c r="AM48" s="1185" t="s">
        <v>410</v>
      </c>
      <c r="AO48" s="437"/>
      <c r="AP48" s="437" t="str">
        <f t="shared" si="1"/>
        <v>Группа потребителей</v>
      </c>
      <c r="AQ48" s="437"/>
      <c r="AR48" s="437"/>
      <c r="AS48" s="1082">
        <v>21</v>
      </c>
    </row>
    <row r="49" spans="1:45" ht="21.95" customHeight="1">
      <c r="A49" s="1290" t="s">
        <v>184</v>
      </c>
      <c r="B49" s="1290" t="s">
        <v>185</v>
      </c>
      <c r="C49" s="1290" t="s">
        <v>186</v>
      </c>
      <c r="D49" s="1290" t="s">
        <v>187</v>
      </c>
      <c r="E49" s="2220"/>
      <c r="F49" s="2220"/>
      <c r="G49" s="2220"/>
      <c r="H49" s="2220"/>
      <c r="I49" s="2222"/>
      <c r="J49" s="2222"/>
      <c r="K49" s="2221" t="str">
        <f>J48&amp;".1"</f>
        <v>....1.1</v>
      </c>
      <c r="L49" s="1291" t="s">
        <v>411</v>
      </c>
      <c r="P49" s="2223"/>
      <c r="Q49" s="2223"/>
      <c r="R49" s="294">
        <v>1</v>
      </c>
      <c r="S49" s="1263" t="str">
        <f>$K49</f>
        <v>....1.1</v>
      </c>
      <c r="T49" s="1274"/>
      <c r="U49" s="237"/>
      <c r="V49" s="688"/>
      <c r="W49" s="262"/>
      <c r="X49" s="688"/>
      <c r="Y49" s="1184"/>
      <c r="Z49" s="2224"/>
      <c r="AA49" s="2102" t="s">
        <v>65</v>
      </c>
      <c r="AB49" s="2224"/>
      <c r="AC49" s="2102" t="s">
        <v>65</v>
      </c>
      <c r="AD49" s="688"/>
      <c r="AE49" s="262"/>
      <c r="AF49" s="688"/>
      <c r="AG49" s="1184"/>
      <c r="AH49" s="2224"/>
      <c r="AI49" s="2102" t="s">
        <v>65</v>
      </c>
      <c r="AJ49" s="2226"/>
      <c r="AK49" s="2102" t="s">
        <v>65</v>
      </c>
      <c r="AL49" s="1275"/>
      <c r="AM49" s="2242" t="s">
        <v>453</v>
      </c>
      <c r="AN49" s="448" t="e">
        <f ca="1">STRCHECKDATE(V50:AL50)</f>
        <v>#NAME?</v>
      </c>
      <c r="AO49" s="437"/>
      <c r="AP49" s="437" t="str">
        <f t="shared" si="1"/>
        <v/>
      </c>
      <c r="AQ49" s="437"/>
      <c r="AR49" s="437"/>
      <c r="AS49" s="1082">
        <v>21</v>
      </c>
    </row>
    <row r="50" spans="1:45" ht="1.1499999999999999" customHeight="1">
      <c r="A50" s="1290" t="s">
        <v>184</v>
      </c>
      <c r="B50" s="1290" t="s">
        <v>185</v>
      </c>
      <c r="C50" s="1290" t="s">
        <v>186</v>
      </c>
      <c r="D50" s="1290" t="s">
        <v>187</v>
      </c>
      <c r="E50" s="2220"/>
      <c r="F50" s="2220"/>
      <c r="G50" s="2220"/>
      <c r="H50" s="2220"/>
      <c r="I50" s="2222"/>
      <c r="J50" s="2222"/>
      <c r="K50" s="2221"/>
      <c r="L50" s="1291"/>
      <c r="P50" s="2223"/>
      <c r="Q50" s="2223"/>
      <c r="R50" s="294"/>
      <c r="S50" s="1269"/>
      <c r="T50" s="237"/>
      <c r="U50" s="237"/>
      <c r="V50" s="262"/>
      <c r="W50" s="262"/>
      <c r="X50" s="262"/>
      <c r="Y50" s="265" t="str">
        <f>Z49&amp;"-"&amp;AB49</f>
        <v>-</v>
      </c>
      <c r="Z50" s="2225"/>
      <c r="AA50" s="2102"/>
      <c r="AB50" s="2225"/>
      <c r="AC50" s="2102"/>
      <c r="AD50" s="262"/>
      <c r="AE50" s="262"/>
      <c r="AF50" s="262"/>
      <c r="AG50" s="265" t="str">
        <f>AH49&amp;"-"&amp;AJ49</f>
        <v>-</v>
      </c>
      <c r="AH50" s="2225"/>
      <c r="AI50" s="2102"/>
      <c r="AJ50" s="2227"/>
      <c r="AK50" s="2102"/>
      <c r="AL50" s="1276"/>
      <c r="AM50" s="2243"/>
      <c r="AO50" s="437"/>
      <c r="AP50" s="437" t="str">
        <f t="shared" si="1"/>
        <v/>
      </c>
      <c r="AQ50" s="437"/>
      <c r="AR50" s="437"/>
      <c r="AS50" s="1082">
        <v>1</v>
      </c>
    </row>
    <row r="51" spans="1:45" ht="11.45" customHeight="1">
      <c r="A51" s="1290" t="s">
        <v>184</v>
      </c>
      <c r="B51" s="1290" t="s">
        <v>185</v>
      </c>
      <c r="C51" s="1290" t="s">
        <v>186</v>
      </c>
      <c r="D51" s="1290" t="s">
        <v>187</v>
      </c>
      <c r="E51" s="2220"/>
      <c r="F51" s="2220"/>
      <c r="G51" s="2220"/>
      <c r="H51" s="2220"/>
      <c r="I51" s="2222"/>
      <c r="J51" s="2221"/>
      <c r="K51" s="1290"/>
      <c r="L51" s="1291"/>
      <c r="P51" s="2223"/>
      <c r="Q51" s="2223"/>
      <c r="R51" s="293"/>
      <c r="S51" s="1205"/>
      <c r="T51" s="224" t="s">
        <v>413</v>
      </c>
      <c r="U51" s="304"/>
      <c r="V51" s="304"/>
      <c r="W51" s="304"/>
      <c r="X51" s="304"/>
      <c r="Y51" s="304"/>
      <c r="Z51" s="304"/>
      <c r="AA51" s="304"/>
      <c r="AB51" s="304"/>
      <c r="AC51" s="304"/>
      <c r="AD51" s="304"/>
      <c r="AE51" s="304"/>
      <c r="AF51" s="304"/>
      <c r="AG51" s="304"/>
      <c r="AH51" s="304"/>
      <c r="AI51" s="304"/>
      <c r="AJ51" s="304"/>
      <c r="AK51" s="304"/>
      <c r="AL51" s="261"/>
      <c r="AM51" s="2244"/>
      <c r="AO51" s="437"/>
      <c r="AP51" s="437" t="str">
        <f t="shared" si="1"/>
        <v>Добавить вид теплоносителя (параметры теплоносителя)</v>
      </c>
      <c r="AQ51" s="437"/>
      <c r="AR51" s="437"/>
      <c r="AS51" s="1082">
        <v>11</v>
      </c>
    </row>
    <row r="52" spans="1:45" ht="11.45" customHeight="1">
      <c r="A52" s="1290" t="s">
        <v>184</v>
      </c>
      <c r="B52" s="1290" t="s">
        <v>185</v>
      </c>
      <c r="C52" s="1290" t="s">
        <v>186</v>
      </c>
      <c r="D52" s="1290" t="s">
        <v>187</v>
      </c>
      <c r="E52" s="2220"/>
      <c r="F52" s="2220"/>
      <c r="G52" s="2220"/>
      <c r="H52" s="2220"/>
      <c r="I52" s="2221"/>
      <c r="J52" s="1290"/>
      <c r="K52" s="1290"/>
      <c r="L52" s="1291"/>
      <c r="P52" s="2223"/>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184</v>
      </c>
      <c r="B53" s="1290" t="s">
        <v>185</v>
      </c>
      <c r="C53" s="1290" t="s">
        <v>186</v>
      </c>
      <c r="D53" s="1290" t="s">
        <v>187</v>
      </c>
      <c r="E53" s="2220"/>
      <c r="F53" s="2220"/>
      <c r="G53" s="2220"/>
      <c r="H53" s="221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184</v>
      </c>
      <c r="B54" s="1270" t="s">
        <v>185</v>
      </c>
      <c r="C54" s="1270" t="s">
        <v>186</v>
      </c>
      <c r="D54" s="1241"/>
      <c r="E54" s="2220"/>
      <c r="F54" s="2220"/>
      <c r="G54" s="2219"/>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184</v>
      </c>
      <c r="B55" s="1270" t="s">
        <v>185</v>
      </c>
      <c r="C55" s="1241"/>
      <c r="D55" s="1241"/>
      <c r="E55" s="2220"/>
      <c r="F55" s="2219"/>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184</v>
      </c>
      <c r="B56" s="1270"/>
      <c r="C56" s="1270"/>
      <c r="D56" s="1270"/>
      <c r="E56" s="2219"/>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2">
        <v>22</v>
      </c>
    </row>
    <row r="60" spans="1:45" ht="30.4"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2">
        <v>29</v>
      </c>
    </row>
    <row r="61" spans="1:45" ht="42" customHeight="1">
      <c r="O61" s="474"/>
      <c r="T61" s="2218"/>
      <c r="U61" s="2218"/>
      <c r="V61" s="2218"/>
      <c r="W61" s="2218"/>
      <c r="X61" s="2218"/>
      <c r="Y61" s="2218"/>
      <c r="Z61" s="2218"/>
      <c r="AA61" s="2218"/>
      <c r="AB61" s="2218"/>
      <c r="AC61" s="2218"/>
      <c r="AD61" s="2218"/>
      <c r="AE61" s="2218"/>
      <c r="AF61" s="2218"/>
      <c r="AG61" s="2218"/>
      <c r="AH61" s="2218"/>
      <c r="AI61" s="2218"/>
      <c r="AJ61" s="2218"/>
      <c r="AK61" s="2218"/>
      <c r="AL61" s="2218"/>
      <c r="AM61" s="2218"/>
      <c r="AS61" s="1082">
        <v>40</v>
      </c>
    </row>
    <row r="62" spans="1:45" ht="14.65" customHeight="1">
      <c r="O62" s="474"/>
      <c r="AS62" s="1082">
        <v>14</v>
      </c>
    </row>
    <row r="63" spans="1:45" ht="21" customHeight="1">
      <c r="O63" s="474"/>
      <c r="S63" s="1180"/>
      <c r="T63" s="2131"/>
      <c r="U63" s="2218"/>
      <c r="V63" s="2218"/>
      <c r="W63" s="2218"/>
      <c r="X63" s="2218"/>
      <c r="Y63" s="2218"/>
      <c r="Z63" s="2218"/>
      <c r="AA63" s="2218"/>
      <c r="AB63" s="2218"/>
      <c r="AC63" s="2218"/>
      <c r="AD63" s="2218"/>
      <c r="AE63" s="2218"/>
      <c r="AF63" s="2218"/>
      <c r="AG63" s="2218"/>
      <c r="AH63" s="2218"/>
      <c r="AI63" s="2218"/>
      <c r="AJ63" s="2218"/>
      <c r="AK63" s="2218"/>
      <c r="AL63" s="2218"/>
      <c r="AM63" s="2218"/>
      <c r="AS63" s="1082">
        <v>20</v>
      </c>
    </row>
    <row r="64" spans="1:45" ht="29.25" customHeight="1">
      <c r="O64" s="474"/>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2">
        <v>28</v>
      </c>
    </row>
    <row r="65" spans="1:45" ht="35.65" customHeight="1">
      <c r="T65" s="2218"/>
      <c r="U65" s="2218"/>
      <c r="V65" s="2218"/>
      <c r="W65" s="2218"/>
      <c r="X65" s="2218"/>
      <c r="Y65" s="2218"/>
      <c r="Z65" s="2218"/>
      <c r="AA65" s="2218"/>
      <c r="AB65" s="2218"/>
      <c r="AC65" s="2218"/>
      <c r="AD65" s="2218"/>
      <c r="AE65" s="2218"/>
      <c r="AF65" s="2218"/>
      <c r="AG65" s="2218"/>
      <c r="AH65" s="2218"/>
      <c r="AI65" s="2218"/>
      <c r="AJ65" s="2218"/>
      <c r="AK65" s="2218"/>
      <c r="AL65" s="2218"/>
      <c r="AM65" s="221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19">
        <v>1</v>
      </c>
      <c r="F2" s="1290"/>
      <c r="G2" s="1290"/>
      <c r="H2" s="1290"/>
      <c r="I2" s="1290"/>
      <c r="J2" s="1290"/>
      <c r="K2" s="1290"/>
      <c r="L2" s="1291"/>
      <c r="M2" s="1292"/>
      <c r="N2" s="1292"/>
      <c r="O2" s="1292"/>
      <c r="P2" s="298"/>
      <c r="Q2" s="297"/>
      <c r="R2" s="292"/>
      <c r="S2" s="1263"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5" t="s">
        <v>398</v>
      </c>
      <c r="AO2" s="437"/>
      <c r="AP2" s="437" t="str">
        <f t="shared" ref="AP2:AP15" si="0">IF(T2="","",T2)</f>
        <v>Наименование тарифа</v>
      </c>
      <c r="AQ2" s="437"/>
      <c r="AR2" s="437"/>
      <c r="AS2" s="1082">
        <v>0</v>
      </c>
    </row>
    <row r="3" spans="1:45" ht="21" hidden="1" customHeight="1">
      <c r="A3" s="1290"/>
      <c r="B3" s="1290"/>
      <c r="C3" s="1290"/>
      <c r="D3" s="1290"/>
      <c r="E3" s="2220"/>
      <c r="F3" s="2219">
        <v>1</v>
      </c>
      <c r="G3" s="1290"/>
      <c r="H3" s="1290"/>
      <c r="I3" s="1290"/>
      <c r="J3" s="1290"/>
      <c r="K3" s="1290"/>
      <c r="L3" s="1291"/>
      <c r="M3" s="1292"/>
      <c r="N3" s="1292"/>
      <c r="O3" s="1292"/>
      <c r="P3" s="1259"/>
      <c r="Q3" s="289"/>
      <c r="R3" s="290"/>
      <c r="S3" s="1263"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5" t="s">
        <v>400</v>
      </c>
      <c r="AO3" s="437"/>
      <c r="AP3" s="437" t="str">
        <f t="shared" si="0"/>
        <v>Территория действия тарифа</v>
      </c>
      <c r="AQ3" s="437"/>
      <c r="AR3" s="437"/>
      <c r="AS3" s="1082">
        <v>0</v>
      </c>
    </row>
    <row r="4" spans="1:45" ht="23.25" hidden="1" customHeight="1">
      <c r="A4" s="1290"/>
      <c r="B4" s="1290"/>
      <c r="C4" s="1290"/>
      <c r="D4" s="1290"/>
      <c r="E4" s="2220"/>
      <c r="F4" s="2220"/>
      <c r="G4" s="2219">
        <v>1</v>
      </c>
      <c r="H4" s="1290"/>
      <c r="I4" s="1290"/>
      <c r="J4" s="1290"/>
      <c r="K4" s="1290"/>
      <c r="L4" s="1291"/>
      <c r="M4" s="1292"/>
      <c r="N4" s="1292"/>
      <c r="O4" s="1292"/>
      <c r="P4" s="291"/>
      <c r="Q4" s="289"/>
      <c r="R4" s="290"/>
      <c r="S4" s="1263"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5" t="s">
        <v>402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20"/>
      <c r="F5" s="2220"/>
      <c r="G5" s="2220"/>
      <c r="H5" s="2219">
        <v>1</v>
      </c>
      <c r="I5" s="1290"/>
      <c r="J5" s="1290"/>
      <c r="K5" s="1290"/>
      <c r="L5" s="1291"/>
      <c r="M5" s="1292"/>
      <c r="N5" s="1292"/>
      <c r="O5" s="1292"/>
      <c r="P5" s="291"/>
      <c r="Q5" s="289"/>
      <c r="R5" s="290"/>
      <c r="S5" s="1263"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5" t="s">
        <v>404</v>
      </c>
      <c r="AO5" s="437"/>
      <c r="AP5" s="437" t="str">
        <f t="shared" si="0"/>
        <v xml:space="preserve">Источник тепловой энергии  </v>
      </c>
      <c r="AQ5" s="437"/>
      <c r="AR5" s="437"/>
      <c r="AS5" s="1082">
        <v>0</v>
      </c>
    </row>
    <row r="6" spans="1:45" ht="14.25" hidden="1" customHeight="1">
      <c r="A6" s="1290"/>
      <c r="B6" s="1290"/>
      <c r="C6" s="1290"/>
      <c r="D6" s="1290"/>
      <c r="E6" s="2220"/>
      <c r="F6" s="2220"/>
      <c r="G6" s="2220"/>
      <c r="H6" s="2220"/>
      <c r="I6" s="2221" t="e">
        <f>S5&amp;".1"</f>
        <v>#N/A</v>
      </c>
      <c r="J6" s="1290"/>
      <c r="K6" s="1290"/>
      <c r="L6" s="1291" t="s">
        <v>405</v>
      </c>
      <c r="M6" s="474"/>
      <c r="P6" s="2223">
        <v>1</v>
      </c>
      <c r="Q6" s="1258"/>
      <c r="R6" s="293"/>
      <c r="S6" s="972"/>
      <c r="T6" s="1310"/>
      <c r="U6" s="1311"/>
      <c r="V6" s="2250"/>
      <c r="W6" s="2251"/>
      <c r="X6" s="2251"/>
      <c r="Y6" s="2251"/>
      <c r="Z6" s="2251"/>
      <c r="AA6" s="2251"/>
      <c r="AB6" s="2251"/>
      <c r="AC6" s="2252"/>
      <c r="AD6" s="2250"/>
      <c r="AE6" s="2251"/>
      <c r="AF6" s="2251"/>
      <c r="AG6" s="2251"/>
      <c r="AH6" s="2251"/>
      <c r="AI6" s="2251"/>
      <c r="AJ6" s="2251"/>
      <c r="AK6" s="2251"/>
      <c r="AL6" s="2252"/>
      <c r="AM6" s="1312"/>
      <c r="AO6" s="437"/>
      <c r="AP6" s="437" t="str">
        <f t="shared" si="0"/>
        <v/>
      </c>
      <c r="AQ6" s="437"/>
      <c r="AR6" s="437"/>
      <c r="AS6" s="1082">
        <v>0</v>
      </c>
    </row>
    <row r="7" spans="1:45" ht="21" hidden="1" customHeight="1">
      <c r="A7" s="1290"/>
      <c r="B7" s="1290"/>
      <c r="C7" s="1290"/>
      <c r="D7" s="1290"/>
      <c r="E7" s="2220"/>
      <c r="F7" s="2220"/>
      <c r="G7" s="2220"/>
      <c r="H7" s="2220"/>
      <c r="I7" s="2222"/>
      <c r="J7" s="2221" t="e">
        <f>I6&amp;".1"</f>
        <v>#N/A</v>
      </c>
      <c r="K7" s="1290"/>
      <c r="L7" s="1291" t="s">
        <v>408</v>
      </c>
      <c r="M7" s="474"/>
      <c r="N7" s="1293"/>
      <c r="P7" s="2223"/>
      <c r="Q7" s="2223">
        <v>1</v>
      </c>
      <c r="R7" s="294"/>
      <c r="S7" s="1263" t="e">
        <f>$J7</f>
        <v>#N/A</v>
      </c>
      <c r="T7" s="223" t="s">
        <v>409</v>
      </c>
      <c r="U7" s="237"/>
      <c r="V7" s="2207"/>
      <c r="W7" s="2208"/>
      <c r="X7" s="2208"/>
      <c r="Y7" s="2208"/>
      <c r="Z7" s="2208"/>
      <c r="AA7" s="2208"/>
      <c r="AB7" s="2208"/>
      <c r="AC7" s="2209"/>
      <c r="AD7" s="2207"/>
      <c r="AE7" s="2208"/>
      <c r="AF7" s="2208"/>
      <c r="AG7" s="2208"/>
      <c r="AH7" s="2208"/>
      <c r="AI7" s="2208"/>
      <c r="AJ7" s="2208"/>
      <c r="AK7" s="2208"/>
      <c r="AL7" s="2209"/>
      <c r="AM7" s="1185" t="s">
        <v>410</v>
      </c>
      <c r="AO7" s="437"/>
      <c r="AP7" s="437" t="str">
        <f t="shared" si="0"/>
        <v>Группа потребителей</v>
      </c>
      <c r="AQ7" s="437"/>
      <c r="AR7" s="437"/>
      <c r="AS7" s="1082">
        <v>0</v>
      </c>
    </row>
    <row r="8" spans="1:45" ht="21" hidden="1" customHeight="1">
      <c r="A8" s="1290"/>
      <c r="B8" s="1290"/>
      <c r="C8" s="1290"/>
      <c r="D8" s="1290"/>
      <c r="E8" s="2220"/>
      <c r="F8" s="2220"/>
      <c r="G8" s="2220"/>
      <c r="H8" s="2220"/>
      <c r="I8" s="2222"/>
      <c r="J8" s="2222"/>
      <c r="K8" s="2221" t="e">
        <f>J7&amp;".1"</f>
        <v>#N/A</v>
      </c>
      <c r="L8" s="1291" t="s">
        <v>411</v>
      </c>
      <c r="M8" s="474"/>
      <c r="N8" s="1293"/>
      <c r="O8" s="1293"/>
      <c r="P8" s="2223"/>
      <c r="Q8" s="2223"/>
      <c r="R8" s="294">
        <v>1</v>
      </c>
      <c r="S8" s="1263" t="e">
        <f>$K8</f>
        <v>#N/A</v>
      </c>
      <c r="T8" s="1274"/>
      <c r="U8" s="237"/>
      <c r="V8" s="688"/>
      <c r="W8" s="262"/>
      <c r="X8" s="688"/>
      <c r="Y8" s="1184"/>
      <c r="Z8" s="2224"/>
      <c r="AA8" s="2102" t="s">
        <v>65</v>
      </c>
      <c r="AB8" s="2224"/>
      <c r="AC8" s="2102" t="s">
        <v>65</v>
      </c>
      <c r="AD8" s="688"/>
      <c r="AE8" s="262"/>
      <c r="AF8" s="688"/>
      <c r="AG8" s="1184"/>
      <c r="AH8" s="2224"/>
      <c r="AI8" s="2102" t="s">
        <v>65</v>
      </c>
      <c r="AJ8" s="2224"/>
      <c r="AK8" s="2102" t="s">
        <v>65</v>
      </c>
      <c r="AL8" s="262"/>
      <c r="AM8" s="2242" t="s">
        <v>412</v>
      </c>
      <c r="AN8" s="448" t="e">
        <f ca="1">STRCHECKDATE(V9:AL9)</f>
        <v>#NAME?</v>
      </c>
      <c r="AO8" s="437"/>
      <c r="AP8" s="437" t="str">
        <f t="shared" si="0"/>
        <v/>
      </c>
      <c r="AQ8" s="437"/>
      <c r="AR8" s="437"/>
      <c r="AS8" s="1082">
        <v>0</v>
      </c>
    </row>
    <row r="9" spans="1:45" ht="14.25" hidden="1" customHeight="1">
      <c r="A9" s="1290"/>
      <c r="B9" s="1290"/>
      <c r="C9" s="1290"/>
      <c r="D9" s="1290"/>
      <c r="E9" s="2220"/>
      <c r="F9" s="2220"/>
      <c r="G9" s="2220"/>
      <c r="H9" s="2220"/>
      <c r="I9" s="2222"/>
      <c r="J9" s="2222"/>
      <c r="K9" s="2221"/>
      <c r="L9" s="1291"/>
      <c r="M9" s="474"/>
      <c r="N9" s="1293"/>
      <c r="O9" s="1293"/>
      <c r="P9" s="2223"/>
      <c r="Q9" s="2223"/>
      <c r="R9" s="294"/>
      <c r="S9" s="1269"/>
      <c r="T9" s="237"/>
      <c r="U9" s="237"/>
      <c r="V9" s="262"/>
      <c r="W9" s="262"/>
      <c r="X9" s="262"/>
      <c r="Y9" s="265" t="str">
        <f>Z8&amp;"-"&amp;AB8</f>
        <v>-</v>
      </c>
      <c r="Z9" s="2225"/>
      <c r="AA9" s="2102"/>
      <c r="AB9" s="2225"/>
      <c r="AC9" s="2102"/>
      <c r="AD9" s="262"/>
      <c r="AE9" s="262"/>
      <c r="AF9" s="262"/>
      <c r="AG9" s="265" t="str">
        <f>AH8&amp;"-"&amp;AJ8</f>
        <v>-</v>
      </c>
      <c r="AH9" s="2225"/>
      <c r="AI9" s="2102"/>
      <c r="AJ9" s="2225"/>
      <c r="AK9" s="2102"/>
      <c r="AL9" s="262"/>
      <c r="AM9" s="2243"/>
      <c r="AO9" s="437"/>
      <c r="AP9" s="437" t="str">
        <f t="shared" si="0"/>
        <v/>
      </c>
      <c r="AQ9" s="437"/>
      <c r="AR9" s="437"/>
      <c r="AS9" s="1082">
        <v>0</v>
      </c>
    </row>
    <row r="10" spans="1:45" ht="15" hidden="1" customHeight="1">
      <c r="A10" s="1290"/>
      <c r="B10" s="1290"/>
      <c r="C10" s="1290"/>
      <c r="D10" s="1290"/>
      <c r="E10" s="2220"/>
      <c r="F10" s="2220"/>
      <c r="G10" s="2220"/>
      <c r="H10" s="2220"/>
      <c r="I10" s="2222"/>
      <c r="J10" s="2221"/>
      <c r="K10" s="1290"/>
      <c r="L10" s="1291"/>
      <c r="M10" s="474"/>
      <c r="N10" s="1293"/>
      <c r="P10" s="2223"/>
      <c r="Q10" s="2223"/>
      <c r="R10" s="293"/>
      <c r="S10" s="1205"/>
      <c r="T10" s="224" t="s">
        <v>413</v>
      </c>
      <c r="U10" s="304"/>
      <c r="V10" s="304"/>
      <c r="W10" s="304"/>
      <c r="X10" s="304"/>
      <c r="Y10" s="304"/>
      <c r="Z10" s="304"/>
      <c r="AA10" s="304"/>
      <c r="AB10" s="304"/>
      <c r="AC10" s="304"/>
      <c r="AD10" s="304"/>
      <c r="AE10" s="304"/>
      <c r="AF10" s="304"/>
      <c r="AG10" s="304"/>
      <c r="AH10" s="304"/>
      <c r="AI10" s="304"/>
      <c r="AJ10" s="304"/>
      <c r="AK10" s="304"/>
      <c r="AL10" s="261"/>
      <c r="AM10" s="224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20"/>
      <c r="F11" s="2220"/>
      <c r="G11" s="2220"/>
      <c r="H11" s="2220"/>
      <c r="I11" s="2221"/>
      <c r="J11" s="1290"/>
      <c r="K11" s="1290"/>
      <c r="L11" s="1291"/>
      <c r="M11" s="474"/>
      <c r="P11" s="2223"/>
      <c r="Q11" s="1258"/>
      <c r="R11" s="293"/>
      <c r="S11" s="1205"/>
      <c r="T11" s="302" t="s">
        <v>414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20"/>
      <c r="F12" s="2220"/>
      <c r="G12" s="2220"/>
      <c r="H12" s="221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20"/>
      <c r="F13" s="2220"/>
      <c r="G13" s="2219"/>
      <c r="H13" s="1241"/>
      <c r="I13" s="1241"/>
      <c r="J13" s="1241"/>
      <c r="K13" s="1241"/>
      <c r="L13" s="1266"/>
      <c r="M13" s="1242"/>
      <c r="N13" s="1242"/>
      <c r="P13" s="1243"/>
      <c r="Q13" s="1244"/>
      <c r="R13" s="1243"/>
      <c r="S13" s="1245"/>
      <c r="T13" s="1246" t="s">
        <v>416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20"/>
      <c r="F14" s="2219"/>
      <c r="G14" s="1241"/>
      <c r="H14" s="1241"/>
      <c r="I14" s="1241"/>
      <c r="J14" s="1241"/>
      <c r="K14" s="1241"/>
      <c r="L14" s="1266"/>
      <c r="M14" s="1248"/>
      <c r="N14" s="1248"/>
      <c r="P14" s="1243"/>
      <c r="Q14" s="1244"/>
      <c r="R14" s="1243"/>
      <c r="S14" s="1249"/>
      <c r="T14" s="1250" t="s">
        <v>417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19"/>
      <c r="F15" s="1241"/>
      <c r="G15" s="1241"/>
      <c r="H15" s="1241"/>
      <c r="I15" s="1241"/>
      <c r="J15" s="1241"/>
      <c r="K15" s="1241"/>
      <c r="L15" s="1266"/>
      <c r="M15" s="1248"/>
      <c r="N15" s="1248"/>
      <c r="P15" s="1243"/>
      <c r="Q15" s="1244"/>
      <c r="R15" s="1243"/>
      <c r="S15" s="1249"/>
      <c r="T15" s="1252" t="s">
        <v>418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17"/>
      <c r="AI17" s="2216" t="s">
        <v>65</v>
      </c>
      <c r="AJ17" s="2217"/>
      <c r="AK17" s="2216" t="s">
        <v>65</v>
      </c>
      <c r="AS17" s="1082">
        <v>0</v>
      </c>
    </row>
    <row r="18" spans="1:45" ht="14.25" hidden="1" customHeight="1">
      <c r="AD18" s="1287"/>
      <c r="AE18" s="1287"/>
      <c r="AF18" s="1287"/>
      <c r="AG18" s="265" t="str">
        <f>AH17&amp;"-"&amp;AJ17</f>
        <v>-</v>
      </c>
      <c r="AH18" s="2216"/>
      <c r="AI18" s="2216"/>
      <c r="AJ18" s="2216"/>
      <c r="AK18" s="2216"/>
      <c r="AS18" s="1082">
        <v>0</v>
      </c>
    </row>
    <row r="19" spans="1:45" ht="14.25" hidden="1" customHeight="1">
      <c r="AK19" s="264"/>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3" t="s">
        <v>422</v>
      </c>
      <c r="AC22" s="123" t="s">
        <v>423</v>
      </c>
      <c r="AD22" s="1087" t="s">
        <v>421</v>
      </c>
      <c r="AI22" s="123" t="s">
        <v>424</v>
      </c>
      <c r="AK22" s="123"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0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00"/>
      <c r="U26" s="2200"/>
      <c r="V26" s="2200"/>
      <c r="W26" s="2200"/>
      <c r="X26" s="2200"/>
      <c r="Y26" s="2200"/>
      <c r="Z26" s="2200"/>
      <c r="AA26" s="2200"/>
      <c r="AB26" s="2200"/>
      <c r="AC26" s="2200"/>
      <c r="AD26" s="2200"/>
      <c r="AE26" s="2200"/>
      <c r="AF26" s="2200"/>
      <c r="AG26" s="2200"/>
      <c r="AH26" s="2200"/>
      <c r="AI26" s="2200"/>
      <c r="AJ26" s="2200"/>
      <c r="AK26" s="1170"/>
      <c r="AS26" s="1082">
        <v>51</v>
      </c>
    </row>
    <row r="27" spans="1:45" ht="14.65" customHeight="1">
      <c r="Q27" s="313"/>
      <c r="R27" s="313"/>
      <c r="S27" s="2172" t="str">
        <f>IF(org=0,"Не определено",org)</f>
        <v>МУП "Михайловское водопроводно-канализационное хозяйство"</v>
      </c>
      <c r="T27" s="2172"/>
      <c r="U27" s="2172"/>
      <c r="V27" s="2172"/>
      <c r="W27" s="2172"/>
      <c r="X27" s="2172"/>
      <c r="Y27" s="2172"/>
      <c r="Z27" s="2172"/>
      <c r="AA27" s="2172"/>
      <c r="AB27" s="2172"/>
      <c r="AC27" s="2172"/>
      <c r="AD27" s="2172"/>
      <c r="AE27" s="2172"/>
      <c r="AF27" s="2172"/>
      <c r="AG27" s="2172"/>
      <c r="AH27" s="2172"/>
      <c r="AI27" s="2172"/>
      <c r="AJ27" s="2172"/>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10" t="s">
        <v>42</v>
      </c>
      <c r="T29" s="2210"/>
      <c r="U29" s="1299"/>
      <c r="V29" s="2212" t="str">
        <f>IF(TITLE_NAME_OR_PR_CHANGE="",IF(TITLE_NAME_OR_PR="","",TITLE_NAME_OR_PR),TITLE_NAME_OR_PR_CHANGE)</f>
        <v/>
      </c>
      <c r="W29" s="2212"/>
      <c r="X29" s="2212"/>
      <c r="Y29" s="2212"/>
      <c r="Z29" s="2212"/>
      <c r="AA29" s="2212"/>
      <c r="AB29" s="2212"/>
      <c r="AC29" s="263"/>
      <c r="AD29" s="2212" t="str">
        <f>IF(TITLE_NAME_OR_PR_CHANGE="",IF(TITLE_NAME_OR_PR="","",TITLE_NAME_OR_PR),TITLE_NAME_OR_PR_CHANGE)</f>
        <v/>
      </c>
      <c r="AE29" s="2212"/>
      <c r="AF29" s="2212"/>
      <c r="AG29" s="2212"/>
      <c r="AH29" s="2212"/>
      <c r="AI29" s="2212"/>
      <c r="AJ29" s="221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10" t="s">
        <v>425</v>
      </c>
      <c r="T30" s="2210"/>
      <c r="U30" s="1299"/>
      <c r="V30" s="2211" t="str">
        <f>IF(TITLE_DATE_PR_CHANGE="",IF(TITLE_DATE_PR="","",TITLE_DATE_PR),TITLE_DATE_PR_CHANGE)</f>
        <v/>
      </c>
      <c r="W30" s="2211"/>
      <c r="X30" s="2211"/>
      <c r="Y30" s="2211"/>
      <c r="Z30" s="2211"/>
      <c r="AA30" s="2211"/>
      <c r="AB30" s="2211"/>
      <c r="AC30" s="263"/>
      <c r="AD30" s="2211" t="str">
        <f>IF(TITLE_DATE_PR_CHANGE="",IF(TITLE_DATE_PR="","",TITLE_DATE_PR),TITLE_DATE_PR_CHANGE)</f>
        <v/>
      </c>
      <c r="AE30" s="2211"/>
      <c r="AF30" s="2211"/>
      <c r="AG30" s="2211"/>
      <c r="AH30" s="2211"/>
      <c r="AI30" s="2211"/>
      <c r="AJ30" s="221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10" t="s">
        <v>426</v>
      </c>
      <c r="T31" s="2210"/>
      <c r="U31" s="1299"/>
      <c r="V31" s="2212" t="str">
        <f>IF(TITLE_NUMBER_PR_CHANGE="",IF(TITLE_NUMBER_PR="","",TITLE_NUMBER_PR),TITLE_NUMBER_PR_CHANGE)</f>
        <v/>
      </c>
      <c r="W31" s="2212"/>
      <c r="X31" s="2212"/>
      <c r="Y31" s="2212"/>
      <c r="Z31" s="2212"/>
      <c r="AA31" s="2212"/>
      <c r="AB31" s="2212"/>
      <c r="AC31" s="263"/>
      <c r="AD31" s="2212" t="str">
        <f>IF(TITLE_NUMBER_PR_CHANGE="",IF(TITLE_NUMBER_PR="","",TITLE_NUMBER_PR),TITLE_NUMBER_PR_CHANGE)</f>
        <v/>
      </c>
      <c r="AE31" s="2212"/>
      <c r="AF31" s="2212"/>
      <c r="AG31" s="2212"/>
      <c r="AH31" s="2212"/>
      <c r="AI31" s="2212"/>
      <c r="AJ31" s="221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10" t="s">
        <v>43</v>
      </c>
      <c r="T32" s="2210"/>
      <c r="U32" s="1299"/>
      <c r="V32" s="2212" t="str">
        <f>IF(TITLE_IST_PUB_CHANGE="",IF(TITLE_IST_PUB="","",TITLE_IST_PUB),TITLE_IST_PUB_CHANGE)</f>
        <v/>
      </c>
      <c r="W32" s="2212"/>
      <c r="X32" s="2212"/>
      <c r="Y32" s="2212"/>
      <c r="Z32" s="2212"/>
      <c r="AA32" s="2212"/>
      <c r="AB32" s="2212"/>
      <c r="AC32" s="263"/>
      <c r="AD32" s="2212" t="str">
        <f>IF(TITLE_IST_PUB_CHANGE="",IF(TITLE_IST_PUB="","",TITLE_IST_PUB),TITLE_IST_PUB_CHANGE)</f>
        <v/>
      </c>
      <c r="AE32" s="2212"/>
      <c r="AF32" s="2212"/>
      <c r="AG32" s="2212"/>
      <c r="AH32" s="2212"/>
      <c r="AI32" s="2212"/>
      <c r="AJ32" s="221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10" t="s">
        <v>427</v>
      </c>
      <c r="T34" s="2210"/>
      <c r="U34" s="1299"/>
      <c r="V34" s="2211" t="str">
        <f>IF(TITLE_DATE_PR_CHANGE="",IF(TITLE_DATE_PR="","",TITLE_DATE_PR),TITLE_DATE_PR_CHANGE)</f>
        <v/>
      </c>
      <c r="W34" s="2211"/>
      <c r="X34" s="2211"/>
      <c r="Y34" s="2211"/>
      <c r="Z34" s="2211"/>
      <c r="AA34" s="2211"/>
      <c r="AB34" s="2211"/>
      <c r="AC34" s="263"/>
      <c r="AD34" s="2211" t="str">
        <f>IF(TITLE_DATE_PR_CHANGE="",IF(TITLE_DATE_PR="","",TITLE_DATE_PR),TITLE_DATE_PR_CHANGE)</f>
        <v/>
      </c>
      <c r="AE34" s="2211"/>
      <c r="AF34" s="2211"/>
      <c r="AG34" s="2211"/>
      <c r="AH34" s="2211"/>
      <c r="AI34" s="2211"/>
      <c r="AJ34" s="2211"/>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210" t="s">
        <v>428</v>
      </c>
      <c r="T35" s="2210"/>
      <c r="U35" s="1299"/>
      <c r="V35" s="2212" t="str">
        <f>IF(TITLE_NUMBER_PR_CHANGE="",IF(TITLE_NUMBER_PR="","",TITLE_NUMBER_PR),TITLE_NUMBER_PR_CHANGE)</f>
        <v/>
      </c>
      <c r="W35" s="2212"/>
      <c r="X35" s="2212"/>
      <c r="Y35" s="2212"/>
      <c r="Z35" s="2212"/>
      <c r="AA35" s="2212"/>
      <c r="AB35" s="2212"/>
      <c r="AC35" s="263"/>
      <c r="AD35" s="2212" t="str">
        <f>IF(TITLE_NUMBER_PR_CHANGE="",IF(TITLE_NUMBER_PR="","",TITLE_NUMBER_PR),TITLE_NUMBER_PR_CHANGE)</f>
        <v/>
      </c>
      <c r="AE35" s="2212"/>
      <c r="AF35" s="2212"/>
      <c r="AG35" s="2212"/>
      <c r="AH35" s="2212"/>
      <c r="AI35" s="2212"/>
      <c r="AJ35" s="221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429</v>
      </c>
      <c r="AD36" s="263"/>
      <c r="AE36" s="263"/>
      <c r="AF36" s="263"/>
      <c r="AG36" s="263"/>
      <c r="AH36" s="263"/>
      <c r="AI36" s="263"/>
      <c r="AJ36" s="263"/>
      <c r="AK36" s="215" t="s">
        <v>429</v>
      </c>
      <c r="AN36" s="305"/>
      <c r="AO36" s="305"/>
      <c r="AP36" s="305"/>
      <c r="AQ36" s="305"/>
      <c r="AR36" s="305"/>
      <c r="AS36" s="355">
        <v>0</v>
      </c>
    </row>
    <row r="37" spans="1:45" ht="14.65" customHeight="1">
      <c r="Q37" s="313"/>
      <c r="R37" s="313"/>
      <c r="S37" s="1202"/>
      <c r="T37" s="300"/>
      <c r="U37" s="1171"/>
      <c r="V37" s="2231"/>
      <c r="W37" s="2231"/>
      <c r="X37" s="2231"/>
      <c r="Y37" s="2231"/>
      <c r="Z37" s="2231"/>
      <c r="AA37" s="2231"/>
      <c r="AB37" s="2231"/>
      <c r="AC37" s="2231"/>
      <c r="AD37" s="2231"/>
      <c r="AE37" s="2231"/>
      <c r="AF37" s="2231"/>
      <c r="AG37" s="2231"/>
      <c r="AH37" s="2231"/>
      <c r="AI37" s="2231"/>
      <c r="AJ37" s="2231"/>
      <c r="AK37" s="2231"/>
      <c r="AS37" s="1082">
        <v>14</v>
      </c>
    </row>
    <row r="38" spans="1:45" ht="14.65" customHeight="1">
      <c r="Q38" s="313"/>
      <c r="R38" s="313"/>
      <c r="S38" s="2091" t="s">
        <v>302</v>
      </c>
      <c r="T38" s="2091"/>
      <c r="U38" s="2091"/>
      <c r="V38" s="2091"/>
      <c r="W38" s="2091"/>
      <c r="X38" s="2091"/>
      <c r="Y38" s="2091"/>
      <c r="Z38" s="2091"/>
      <c r="AA38" s="2091"/>
      <c r="AB38" s="2091"/>
      <c r="AC38" s="2091"/>
      <c r="AD38" s="2091"/>
      <c r="AE38" s="2091"/>
      <c r="AF38" s="2091"/>
      <c r="AG38" s="2091"/>
      <c r="AH38" s="2091"/>
      <c r="AI38" s="2091"/>
      <c r="AJ38" s="2091"/>
      <c r="AK38" s="2091"/>
      <c r="AL38" s="2091"/>
      <c r="AM38" s="2091" t="s">
        <v>303</v>
      </c>
      <c r="AS38" s="1082">
        <v>14</v>
      </c>
    </row>
    <row r="39" spans="1:45" ht="14.65" customHeight="1">
      <c r="Q39" s="313"/>
      <c r="R39" s="313"/>
      <c r="S39" s="2232" t="s">
        <v>87</v>
      </c>
      <c r="T39" s="2180" t="s">
        <v>430</v>
      </c>
      <c r="U39" s="238"/>
      <c r="V39" s="2233" t="s">
        <v>431</v>
      </c>
      <c r="W39" s="2234"/>
      <c r="X39" s="2234"/>
      <c r="Y39" s="2234"/>
      <c r="Z39" s="2234"/>
      <c r="AA39" s="2234"/>
      <c r="AB39" s="2235"/>
      <c r="AC39" s="2236" t="s">
        <v>432</v>
      </c>
      <c r="AD39" s="2233" t="s">
        <v>431</v>
      </c>
      <c r="AE39" s="2234"/>
      <c r="AF39" s="2234"/>
      <c r="AG39" s="2234"/>
      <c r="AH39" s="2234"/>
      <c r="AI39" s="2234"/>
      <c r="AJ39" s="2235"/>
      <c r="AK39" s="2236" t="s">
        <v>433</v>
      </c>
      <c r="AL39" s="2239" t="s">
        <v>434</v>
      </c>
      <c r="AM39" s="2091"/>
      <c r="AS39" s="1082">
        <v>14</v>
      </c>
    </row>
    <row r="40" spans="1:45" ht="35.65" customHeight="1">
      <c r="Q40" s="313"/>
      <c r="R40" s="313"/>
      <c r="S40" s="2232"/>
      <c r="T40" s="2180"/>
      <c r="U40" s="961"/>
      <c r="V40" s="2150" t="s">
        <v>435</v>
      </c>
      <c r="W40" s="2228"/>
      <c r="X40" s="2073" t="s">
        <v>437</v>
      </c>
      <c r="Y40" s="2072"/>
      <c r="Z40" s="2073" t="s">
        <v>438</v>
      </c>
      <c r="AA40" s="2078"/>
      <c r="AB40" s="2072"/>
      <c r="AC40" s="2237"/>
      <c r="AD40" s="2150" t="s">
        <v>452</v>
      </c>
      <c r="AE40" s="2228"/>
      <c r="AF40" s="2073" t="s">
        <v>437</v>
      </c>
      <c r="AG40" s="2072"/>
      <c r="AH40" s="2073" t="s">
        <v>438</v>
      </c>
      <c r="AI40" s="2078"/>
      <c r="AJ40" s="2072"/>
      <c r="AK40" s="2237"/>
      <c r="AL40" s="2240"/>
      <c r="AM40" s="2091"/>
      <c r="AS40" s="1082">
        <v>34</v>
      </c>
    </row>
    <row r="41" spans="1:45" ht="35.65" customHeight="1">
      <c r="A41" s="1297"/>
      <c r="B41" s="1297" t="s">
        <v>139</v>
      </c>
      <c r="C41" s="1297" t="s">
        <v>140</v>
      </c>
      <c r="D41" s="1297" t="s">
        <v>141</v>
      </c>
      <c r="E41" s="1291" t="s">
        <v>439</v>
      </c>
      <c r="F41" s="1291" t="s">
        <v>440</v>
      </c>
      <c r="G41" s="1291" t="s">
        <v>441</v>
      </c>
      <c r="H41" s="1291" t="s">
        <v>442</v>
      </c>
      <c r="I41" s="1291" t="s">
        <v>443</v>
      </c>
      <c r="J41" s="1291" t="s">
        <v>444</v>
      </c>
      <c r="K41" s="1291" t="s">
        <v>445</v>
      </c>
      <c r="L41" s="1291" t="s">
        <v>420</v>
      </c>
      <c r="Q41" s="313"/>
      <c r="R41" s="313"/>
      <c r="S41" s="2232"/>
      <c r="T41" s="2180"/>
      <c r="U41" s="239"/>
      <c r="V41" s="2205"/>
      <c r="W41" s="2229"/>
      <c r="X41" s="1149" t="s">
        <v>446</v>
      </c>
      <c r="Y41" s="1149" t="s">
        <v>447</v>
      </c>
      <c r="Z41" s="1265" t="s">
        <v>448</v>
      </c>
      <c r="AA41" s="2185" t="s">
        <v>449</v>
      </c>
      <c r="AB41" s="2199"/>
      <c r="AC41" s="2238"/>
      <c r="AD41" s="2205"/>
      <c r="AE41" s="2229"/>
      <c r="AF41" s="1149" t="s">
        <v>446</v>
      </c>
      <c r="AG41" s="1149" t="s">
        <v>447</v>
      </c>
      <c r="AH41" s="1265" t="s">
        <v>448</v>
      </c>
      <c r="AI41" s="2185" t="s">
        <v>449</v>
      </c>
      <c r="AJ41" s="2199"/>
      <c r="AK41" s="2238"/>
      <c r="AL41" s="2241"/>
      <c r="AM41" s="209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30">
        <f ca="1">OFFSET(AA42,0,-1)+1</f>
        <v>4</v>
      </c>
      <c r="AB42" s="2230"/>
      <c r="AC42" s="1262">
        <f ca="1">OFFSET(AC42,0,-2)+1</f>
        <v>5</v>
      </c>
      <c r="AD42" s="1262">
        <f ca="1">OFFSET(AD42,0,-1)+1</f>
        <v>6</v>
      </c>
      <c r="AE42" s="1262"/>
      <c r="AF42" s="1262">
        <f ca="1">OFFSET(AF42,0,-1)+1</f>
        <v>1</v>
      </c>
      <c r="AG42" s="1262">
        <f ca="1">OFFSET(AG42,0,-1)+1</f>
        <v>2</v>
      </c>
      <c r="AH42" s="1262">
        <f ca="1">OFFSET(AH42,0,-1)+1</f>
        <v>3</v>
      </c>
      <c r="AI42" s="2230">
        <f ca="1">OFFSET(AI42,0,-1)+1</f>
        <v>4</v>
      </c>
      <c r="AJ42" s="2230"/>
      <c r="AK42" s="1262">
        <f ca="1">OFFSET(AK42,0,-2)+1</f>
        <v>5</v>
      </c>
      <c r="AL42" s="1172">
        <f ca="1">OFFSET(AL42,0,-1)</f>
        <v>5</v>
      </c>
      <c r="AM42" s="1262">
        <f ca="1">OFFSET(AM42,0,-1)+1</f>
        <v>6</v>
      </c>
      <c r="AN42" s="448"/>
      <c r="AO42" s="448"/>
      <c r="AP42" s="448"/>
      <c r="AQ42" s="448"/>
      <c r="AR42" s="448"/>
      <c r="AS42" s="433">
        <v>0</v>
      </c>
    </row>
    <row r="43" spans="1:45" ht="21.95" customHeight="1">
      <c r="A43" s="1290" t="s">
        <v>190</v>
      </c>
      <c r="B43" s="1290"/>
      <c r="C43" s="1290"/>
      <c r="D43" s="1290"/>
      <c r="E43" s="221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190</v>
      </c>
      <c r="B44" s="1290" t="s">
        <v>191</v>
      </c>
      <c r="C44" s="1290"/>
      <c r="D44" s="1290"/>
      <c r="E44" s="2220"/>
      <c r="F44" s="2219">
        <v>1</v>
      </c>
      <c r="G44" s="1290"/>
      <c r="H44" s="1290"/>
      <c r="I44" s="1290"/>
      <c r="J44" s="1290"/>
      <c r="K44" s="1290"/>
      <c r="L44" s="1291"/>
      <c r="M44" s="1292"/>
      <c r="N44" s="1292"/>
      <c r="O44" s="1292"/>
      <c r="P44" s="1259"/>
      <c r="Q44" s="289"/>
      <c r="R44" s="290"/>
      <c r="S44" s="1263"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5" t="s">
        <v>400</v>
      </c>
      <c r="AO44" s="437"/>
      <c r="AP44" s="437" t="str">
        <f t="shared" si="1"/>
        <v>Территория действия тарифа</v>
      </c>
      <c r="AQ44" s="437"/>
      <c r="AR44" s="437"/>
      <c r="AS44" s="1082">
        <v>21</v>
      </c>
    </row>
    <row r="45" spans="1:45" ht="24" customHeight="1">
      <c r="A45" s="1290" t="s">
        <v>190</v>
      </c>
      <c r="B45" s="1290" t="s">
        <v>191</v>
      </c>
      <c r="C45" s="1290" t="s">
        <v>192</v>
      </c>
      <c r="D45" s="1290"/>
      <c r="E45" s="2220"/>
      <c r="F45" s="2220"/>
      <c r="G45" s="2219">
        <v>1</v>
      </c>
      <c r="H45" s="1290"/>
      <c r="I45" s="1290"/>
      <c r="J45" s="1290"/>
      <c r="K45" s="1290"/>
      <c r="L45" s="1291"/>
      <c r="M45" s="1292"/>
      <c r="N45" s="1292"/>
      <c r="O45" s="1292"/>
      <c r="P45" s="291"/>
      <c r="Q45" s="289"/>
      <c r="R45" s="290"/>
      <c r="S45" s="1263"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5" t="s">
        <v>402</v>
      </c>
      <c r="AO45" s="437"/>
      <c r="AP45" s="437" t="str">
        <f t="shared" si="1"/>
        <v xml:space="preserve">Наименование системы теплоснабжения </v>
      </c>
      <c r="AQ45" s="437"/>
      <c r="AR45" s="437"/>
      <c r="AS45" s="1082">
        <v>23</v>
      </c>
    </row>
    <row r="46" spans="1:45" ht="21.95" customHeight="1">
      <c r="A46" s="1290" t="s">
        <v>190</v>
      </c>
      <c r="B46" s="1290" t="s">
        <v>191</v>
      </c>
      <c r="C46" s="1290" t="s">
        <v>192</v>
      </c>
      <c r="D46" s="1290" t="s">
        <v>193</v>
      </c>
      <c r="E46" s="2220"/>
      <c r="F46" s="2220"/>
      <c r="G46" s="2220"/>
      <c r="H46" s="2219">
        <v>1</v>
      </c>
      <c r="I46" s="1290"/>
      <c r="J46" s="1290"/>
      <c r="K46" s="1290"/>
      <c r="L46" s="1291"/>
      <c r="M46" s="1292"/>
      <c r="N46" s="1292"/>
      <c r="O46" s="1292"/>
      <c r="P46" s="291"/>
      <c r="Q46" s="289"/>
      <c r="R46" s="290"/>
      <c r="S46" s="1263"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5" t="s">
        <v>404</v>
      </c>
      <c r="AO46" s="437"/>
      <c r="AP46" s="437" t="str">
        <f t="shared" si="1"/>
        <v xml:space="preserve">Источник тепловой энергии  </v>
      </c>
      <c r="AQ46" s="437"/>
      <c r="AR46" s="437"/>
      <c r="AS46" s="1082">
        <v>21</v>
      </c>
    </row>
    <row r="47" spans="1:45" s="1569" customFormat="1" ht="0" hidden="1" customHeight="1">
      <c r="A47" s="1270" t="s">
        <v>190</v>
      </c>
      <c r="B47" s="1270" t="s">
        <v>191</v>
      </c>
      <c r="C47" s="1270" t="s">
        <v>192</v>
      </c>
      <c r="D47" s="1270" t="s">
        <v>193</v>
      </c>
      <c r="E47" s="2220"/>
      <c r="F47" s="2220"/>
      <c r="G47" s="2220"/>
      <c r="H47" s="2220"/>
      <c r="I47" s="2221" t="str">
        <f>S46&amp;".1"</f>
        <v>....1</v>
      </c>
      <c r="J47" s="1270"/>
      <c r="K47" s="1270"/>
      <c r="L47" s="1273" t="s">
        <v>405</v>
      </c>
      <c r="M47" s="447"/>
      <c r="N47" s="447"/>
      <c r="O47" s="447"/>
      <c r="P47" s="2223">
        <v>1</v>
      </c>
      <c r="Q47" s="1258"/>
      <c r="R47" s="293"/>
      <c r="S47" s="972"/>
      <c r="T47" s="1310"/>
      <c r="U47" s="1311"/>
      <c r="V47" s="2250"/>
      <c r="W47" s="2251"/>
      <c r="X47" s="2251"/>
      <c r="Y47" s="2251"/>
      <c r="Z47" s="2251"/>
      <c r="AA47" s="2251"/>
      <c r="AB47" s="2251"/>
      <c r="AC47" s="2252"/>
      <c r="AD47" s="2250"/>
      <c r="AE47" s="2251"/>
      <c r="AF47" s="2251"/>
      <c r="AG47" s="2251"/>
      <c r="AH47" s="2251"/>
      <c r="AI47" s="2251"/>
      <c r="AJ47" s="2251"/>
      <c r="AK47" s="2251"/>
      <c r="AL47" s="2252"/>
      <c r="AM47" s="1312"/>
      <c r="AO47" s="437"/>
      <c r="AP47" s="437" t="str">
        <f t="shared" si="1"/>
        <v/>
      </c>
      <c r="AQ47" s="437"/>
      <c r="AR47" s="437"/>
      <c r="AS47" s="448">
        <v>0</v>
      </c>
    </row>
    <row r="48" spans="1:45" ht="21.95" customHeight="1">
      <c r="A48" s="1290" t="s">
        <v>190</v>
      </c>
      <c r="B48" s="1290" t="s">
        <v>191</v>
      </c>
      <c r="C48" s="1290" t="s">
        <v>192</v>
      </c>
      <c r="D48" s="1290" t="s">
        <v>193</v>
      </c>
      <c r="E48" s="2220"/>
      <c r="F48" s="2220"/>
      <c r="G48" s="2220"/>
      <c r="H48" s="2220"/>
      <c r="I48" s="2222"/>
      <c r="J48" s="2221" t="str">
        <f>S46&amp;".1"</f>
        <v>....1</v>
      </c>
      <c r="K48" s="1290"/>
      <c r="L48" s="1291" t="s">
        <v>408</v>
      </c>
      <c r="P48" s="2223"/>
      <c r="Q48" s="2223">
        <v>1</v>
      </c>
      <c r="R48" s="294"/>
      <c r="S48" s="1263" t="str">
        <f>$J48</f>
        <v>....1</v>
      </c>
      <c r="T48" s="223" t="s">
        <v>409</v>
      </c>
      <c r="U48" s="237"/>
      <c r="V48" s="2207"/>
      <c r="W48" s="2208"/>
      <c r="X48" s="2208"/>
      <c r="Y48" s="2208"/>
      <c r="Z48" s="2208"/>
      <c r="AA48" s="2208"/>
      <c r="AB48" s="2208"/>
      <c r="AC48" s="2209"/>
      <c r="AD48" s="2207"/>
      <c r="AE48" s="2208"/>
      <c r="AF48" s="2208"/>
      <c r="AG48" s="2208"/>
      <c r="AH48" s="2208"/>
      <c r="AI48" s="2208"/>
      <c r="AJ48" s="2208"/>
      <c r="AK48" s="2208"/>
      <c r="AL48" s="2209"/>
      <c r="AM48" s="1185" t="s">
        <v>410</v>
      </c>
      <c r="AO48" s="437"/>
      <c r="AP48" s="437" t="str">
        <f t="shared" si="1"/>
        <v>Группа потребителей</v>
      </c>
      <c r="AQ48" s="437"/>
      <c r="AR48" s="437"/>
      <c r="AS48" s="1082">
        <v>21</v>
      </c>
    </row>
    <row r="49" spans="1:45" ht="21.95" customHeight="1">
      <c r="A49" s="1290" t="s">
        <v>190</v>
      </c>
      <c r="B49" s="1290" t="s">
        <v>191</v>
      </c>
      <c r="C49" s="1290" t="s">
        <v>192</v>
      </c>
      <c r="D49" s="1290" t="s">
        <v>193</v>
      </c>
      <c r="E49" s="2220"/>
      <c r="F49" s="2220"/>
      <c r="G49" s="2220"/>
      <c r="H49" s="2220"/>
      <c r="I49" s="2222"/>
      <c r="J49" s="2222"/>
      <c r="K49" s="2221" t="str">
        <f>J48&amp;".1"</f>
        <v>....1.1</v>
      </c>
      <c r="L49" s="1291" t="s">
        <v>411</v>
      </c>
      <c r="P49" s="2223"/>
      <c r="Q49" s="2223"/>
      <c r="R49" s="294">
        <v>1</v>
      </c>
      <c r="S49" s="1263" t="str">
        <f>$K49</f>
        <v>....1.1</v>
      </c>
      <c r="T49" s="1274"/>
      <c r="U49" s="237"/>
      <c r="V49" s="688"/>
      <c r="W49" s="262"/>
      <c r="X49" s="688"/>
      <c r="Y49" s="1184"/>
      <c r="Z49" s="2224"/>
      <c r="AA49" s="2102" t="s">
        <v>65</v>
      </c>
      <c r="AB49" s="2224"/>
      <c r="AC49" s="2102" t="s">
        <v>65</v>
      </c>
      <c r="AD49" s="688"/>
      <c r="AE49" s="262"/>
      <c r="AF49" s="688"/>
      <c r="AG49" s="1184"/>
      <c r="AH49" s="2224"/>
      <c r="AI49" s="2102" t="s">
        <v>65</v>
      </c>
      <c r="AJ49" s="2226"/>
      <c r="AK49" s="2102" t="s">
        <v>65</v>
      </c>
      <c r="AL49" s="1275"/>
      <c r="AM49" s="2242" t="s">
        <v>453</v>
      </c>
      <c r="AN49" s="448" t="e">
        <f ca="1">STRCHECKDATE(V50:AL50)</f>
        <v>#NAME?</v>
      </c>
      <c r="AO49" s="437"/>
      <c r="AP49" s="437" t="str">
        <f t="shared" si="1"/>
        <v/>
      </c>
      <c r="AQ49" s="437"/>
      <c r="AR49" s="437"/>
      <c r="AS49" s="1082">
        <v>21</v>
      </c>
    </row>
    <row r="50" spans="1:45" ht="0" hidden="1" customHeight="1">
      <c r="A50" s="1290" t="s">
        <v>190</v>
      </c>
      <c r="B50" s="1290" t="s">
        <v>191</v>
      </c>
      <c r="C50" s="1290" t="s">
        <v>192</v>
      </c>
      <c r="D50" s="1290" t="s">
        <v>193</v>
      </c>
      <c r="E50" s="2220"/>
      <c r="F50" s="2220"/>
      <c r="G50" s="2220"/>
      <c r="H50" s="2220"/>
      <c r="I50" s="2222"/>
      <c r="J50" s="2222"/>
      <c r="K50" s="2221"/>
      <c r="L50" s="1291"/>
      <c r="P50" s="2223"/>
      <c r="Q50" s="2223"/>
      <c r="R50" s="294"/>
      <c r="S50" s="1269"/>
      <c r="T50" s="237"/>
      <c r="U50" s="237"/>
      <c r="V50" s="262"/>
      <c r="W50" s="262"/>
      <c r="X50" s="262"/>
      <c r="Y50" s="265" t="str">
        <f>Z49&amp;"-"&amp;AB49</f>
        <v>-</v>
      </c>
      <c r="Z50" s="2225"/>
      <c r="AA50" s="2102"/>
      <c r="AB50" s="2225"/>
      <c r="AC50" s="2102"/>
      <c r="AD50" s="262"/>
      <c r="AE50" s="262"/>
      <c r="AF50" s="262"/>
      <c r="AG50" s="265" t="str">
        <f>AH49&amp;"-"&amp;AJ49</f>
        <v>-</v>
      </c>
      <c r="AH50" s="2225"/>
      <c r="AI50" s="2102"/>
      <c r="AJ50" s="2227"/>
      <c r="AK50" s="2102"/>
      <c r="AL50" s="1276"/>
      <c r="AM50" s="2243"/>
      <c r="AO50" s="437"/>
      <c r="AP50" s="437" t="str">
        <f t="shared" si="1"/>
        <v/>
      </c>
      <c r="AQ50" s="437"/>
      <c r="AR50" s="437"/>
      <c r="AS50" s="1082">
        <v>0</v>
      </c>
    </row>
    <row r="51" spans="1:45" ht="11.45" customHeight="1">
      <c r="A51" s="1290" t="s">
        <v>190</v>
      </c>
      <c r="B51" s="1290" t="s">
        <v>191</v>
      </c>
      <c r="C51" s="1290" t="s">
        <v>192</v>
      </c>
      <c r="D51" s="1290" t="s">
        <v>193</v>
      </c>
      <c r="E51" s="2220"/>
      <c r="F51" s="2220"/>
      <c r="G51" s="2220"/>
      <c r="H51" s="2220"/>
      <c r="I51" s="2222"/>
      <c r="J51" s="2221"/>
      <c r="K51" s="1290"/>
      <c r="L51" s="1291"/>
      <c r="P51" s="2223"/>
      <c r="Q51" s="2223"/>
      <c r="R51" s="293"/>
      <c r="S51" s="1205"/>
      <c r="T51" s="224" t="s">
        <v>413</v>
      </c>
      <c r="U51" s="304"/>
      <c r="V51" s="304"/>
      <c r="W51" s="304"/>
      <c r="X51" s="304"/>
      <c r="Y51" s="304"/>
      <c r="Z51" s="304"/>
      <c r="AA51" s="304"/>
      <c r="AB51" s="304"/>
      <c r="AC51" s="304"/>
      <c r="AD51" s="304"/>
      <c r="AE51" s="304"/>
      <c r="AF51" s="304"/>
      <c r="AG51" s="304"/>
      <c r="AH51" s="304"/>
      <c r="AI51" s="304"/>
      <c r="AJ51" s="304"/>
      <c r="AK51" s="304"/>
      <c r="AL51" s="261"/>
      <c r="AM51" s="2244"/>
      <c r="AO51" s="437"/>
      <c r="AP51" s="437" t="str">
        <f t="shared" si="1"/>
        <v>Добавить вид теплоносителя (параметры теплоносителя)</v>
      </c>
      <c r="AQ51" s="437"/>
      <c r="AR51" s="437"/>
      <c r="AS51" s="1082">
        <v>11</v>
      </c>
    </row>
    <row r="52" spans="1:45" ht="11.45" customHeight="1">
      <c r="A52" s="1290" t="s">
        <v>190</v>
      </c>
      <c r="B52" s="1290" t="s">
        <v>191</v>
      </c>
      <c r="C52" s="1290" t="s">
        <v>192</v>
      </c>
      <c r="D52" s="1290" t="s">
        <v>193</v>
      </c>
      <c r="E52" s="2220"/>
      <c r="F52" s="2220"/>
      <c r="G52" s="2220"/>
      <c r="H52" s="2220"/>
      <c r="I52" s="2221"/>
      <c r="J52" s="1290"/>
      <c r="K52" s="1290"/>
      <c r="L52" s="1291"/>
      <c r="P52" s="2223"/>
      <c r="Q52" s="1258"/>
      <c r="R52" s="293"/>
      <c r="S52" s="1205"/>
      <c r="T52" s="302" t="s">
        <v>414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190</v>
      </c>
      <c r="B53" s="1290" t="s">
        <v>191</v>
      </c>
      <c r="C53" s="1290" t="s">
        <v>192</v>
      </c>
      <c r="D53" s="1290" t="s">
        <v>193</v>
      </c>
      <c r="E53" s="2220"/>
      <c r="F53" s="2220"/>
      <c r="G53" s="2220"/>
      <c r="H53" s="221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190</v>
      </c>
      <c r="B54" s="1270" t="s">
        <v>191</v>
      </c>
      <c r="C54" s="1270" t="s">
        <v>192</v>
      </c>
      <c r="D54" s="1241"/>
      <c r="E54" s="2220"/>
      <c r="F54" s="2220"/>
      <c r="G54" s="2219"/>
      <c r="H54" s="1241"/>
      <c r="I54" s="1241"/>
      <c r="J54" s="1241"/>
      <c r="K54" s="1241"/>
      <c r="L54" s="1266"/>
      <c r="M54" s="1242"/>
      <c r="N54" s="1242"/>
      <c r="P54" s="1243"/>
      <c r="Q54" s="1244"/>
      <c r="R54" s="1243"/>
      <c r="S54" s="1249"/>
      <c r="T54" s="1252" t="s">
        <v>416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190</v>
      </c>
      <c r="B55" s="1270" t="s">
        <v>191</v>
      </c>
      <c r="C55" s="1241"/>
      <c r="D55" s="1241"/>
      <c r="E55" s="2220"/>
      <c r="F55" s="2219"/>
      <c r="G55" s="1241"/>
      <c r="H55" s="1241"/>
      <c r="I55" s="1241"/>
      <c r="J55" s="1241"/>
      <c r="K55" s="1241"/>
      <c r="L55" s="1266"/>
      <c r="M55" s="1248"/>
      <c r="N55" s="1248"/>
      <c r="P55" s="1243"/>
      <c r="Q55" s="1244"/>
      <c r="R55" s="1243"/>
      <c r="S55" s="1249"/>
      <c r="T55" s="1252" t="s">
        <v>417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190</v>
      </c>
      <c r="B56" s="1270"/>
      <c r="C56" s="1270"/>
      <c r="D56" s="1270"/>
      <c r="E56" s="2219"/>
      <c r="F56" s="1270"/>
      <c r="G56" s="1270"/>
      <c r="H56" s="1270"/>
      <c r="I56" s="1270"/>
      <c r="J56" s="1270"/>
      <c r="K56" s="1270"/>
      <c r="L56" s="1273"/>
      <c r="M56" s="1248"/>
      <c r="N56" s="1248"/>
      <c r="O56" s="455"/>
      <c r="P56" s="317"/>
      <c r="Q56" s="1271"/>
      <c r="R56" s="317"/>
      <c r="S56" s="1249"/>
      <c r="T56" s="1252" t="s">
        <v>418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450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18"/>
      <c r="U59" s="2218"/>
      <c r="V59" s="2218"/>
      <c r="W59" s="2218"/>
      <c r="X59" s="2218"/>
      <c r="Y59" s="2218"/>
      <c r="Z59" s="2218"/>
      <c r="AA59" s="2218"/>
      <c r="AB59" s="2218"/>
      <c r="AC59" s="2218"/>
      <c r="AD59" s="2218"/>
      <c r="AE59" s="2218"/>
      <c r="AF59" s="2218"/>
      <c r="AG59" s="2218"/>
      <c r="AH59" s="2218"/>
      <c r="AI59" s="2218"/>
      <c r="AJ59" s="2218"/>
      <c r="AK59" s="2218"/>
      <c r="AL59" s="2218"/>
      <c r="AM59" s="2218"/>
      <c r="AS59" s="1082">
        <v>14</v>
      </c>
    </row>
    <row r="60" spans="1:45" ht="14.65" customHeight="1">
      <c r="O60" s="474"/>
      <c r="T60" s="2218"/>
      <c r="U60" s="2218"/>
      <c r="V60" s="2218"/>
      <c r="W60" s="2218"/>
      <c r="X60" s="2218"/>
      <c r="Y60" s="2218"/>
      <c r="Z60" s="2218"/>
      <c r="AA60" s="2218"/>
      <c r="AB60" s="2218"/>
      <c r="AC60" s="2218"/>
      <c r="AD60" s="2218"/>
      <c r="AE60" s="2218"/>
      <c r="AF60" s="2218"/>
      <c r="AG60" s="2218"/>
      <c r="AH60" s="2218"/>
      <c r="AI60" s="2218"/>
      <c r="AJ60" s="2218"/>
      <c r="AK60" s="2218"/>
      <c r="AL60" s="2218"/>
      <c r="AM60" s="2218"/>
      <c r="AS60" s="1082">
        <v>14</v>
      </c>
    </row>
    <row r="61" spans="1:45" ht="14.65" customHeight="1">
      <c r="O61" s="474"/>
      <c r="T61" s="2218"/>
      <c r="U61" s="2218"/>
      <c r="V61" s="2218"/>
      <c r="W61" s="2218"/>
      <c r="X61" s="2218"/>
      <c r="Y61" s="2218"/>
      <c r="Z61" s="2218"/>
      <c r="AA61" s="2218"/>
      <c r="AB61" s="2218"/>
      <c r="AC61" s="2218"/>
      <c r="AD61" s="2218"/>
      <c r="AE61" s="2218"/>
      <c r="AF61" s="2218"/>
      <c r="AG61" s="2218"/>
      <c r="AH61" s="2218"/>
      <c r="AI61" s="2218"/>
      <c r="AJ61" s="2218"/>
      <c r="AK61" s="2218"/>
      <c r="AL61" s="2218"/>
      <c r="AM61" s="2218"/>
      <c r="AS61" s="1082">
        <v>14</v>
      </c>
    </row>
    <row r="62" spans="1:45" ht="14.65" customHeight="1">
      <c r="O62" s="474"/>
      <c r="AS62" s="1082">
        <v>14</v>
      </c>
    </row>
    <row r="63" spans="1:45" ht="14.65" customHeight="1">
      <c r="O63" s="474"/>
      <c r="S63" s="1180"/>
      <c r="T63" s="2131"/>
      <c r="U63" s="2218"/>
      <c r="V63" s="2218"/>
      <c r="W63" s="2218"/>
      <c r="X63" s="2218"/>
      <c r="Y63" s="2218"/>
      <c r="Z63" s="2218"/>
      <c r="AA63" s="2218"/>
      <c r="AB63" s="2218"/>
      <c r="AC63" s="2218"/>
      <c r="AD63" s="2218"/>
      <c r="AE63" s="2218"/>
      <c r="AF63" s="2218"/>
      <c r="AG63" s="2218"/>
      <c r="AH63" s="2218"/>
      <c r="AI63" s="2218"/>
      <c r="AJ63" s="2218"/>
      <c r="AK63" s="2218"/>
      <c r="AL63" s="2218"/>
      <c r="AM63" s="2218"/>
      <c r="AS63" s="1082">
        <v>14</v>
      </c>
    </row>
    <row r="64" spans="1:45" ht="14.65" customHeight="1">
      <c r="O64" s="474"/>
      <c r="T64" s="2218"/>
      <c r="U64" s="2218"/>
      <c r="V64" s="2218"/>
      <c r="W64" s="2218"/>
      <c r="X64" s="2218"/>
      <c r="Y64" s="2218"/>
      <c r="Z64" s="2218"/>
      <c r="AA64" s="2218"/>
      <c r="AB64" s="2218"/>
      <c r="AC64" s="2218"/>
      <c r="AD64" s="2218"/>
      <c r="AE64" s="2218"/>
      <c r="AF64" s="2218"/>
      <c r="AG64" s="2218"/>
      <c r="AH64" s="2218"/>
      <c r="AI64" s="2218"/>
      <c r="AJ64" s="2218"/>
      <c r="AK64" s="2218"/>
      <c r="AL64" s="2218"/>
      <c r="AM64" s="2218"/>
      <c r="AS64" s="1082">
        <v>14</v>
      </c>
    </row>
    <row r="65" spans="1:45" ht="14.65" customHeight="1">
      <c r="T65" s="2218"/>
      <c r="U65" s="2218"/>
      <c r="V65" s="2218"/>
      <c r="W65" s="2218"/>
      <c r="X65" s="2218"/>
      <c r="Y65" s="2218"/>
      <c r="Z65" s="2218"/>
      <c r="AA65" s="2218"/>
      <c r="AB65" s="2218"/>
      <c r="AC65" s="2218"/>
      <c r="AD65" s="2218"/>
      <c r="AE65" s="2218"/>
      <c r="AF65" s="2218"/>
      <c r="AG65" s="2218"/>
      <c r="AH65" s="2218"/>
      <c r="AI65" s="2218"/>
      <c r="AJ65" s="2218"/>
      <c r="AK65" s="2218"/>
      <c r="AL65" s="2218"/>
      <c r="AM65" s="2218"/>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4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127</v>
      </c>
      <c r="W2" s="237"/>
      <c r="X2" s="2213"/>
      <c r="Y2" s="2214"/>
      <c r="Z2" s="2214"/>
      <c r="AA2" s="2214"/>
      <c r="AB2" s="2214"/>
      <c r="AC2" s="2214"/>
      <c r="AD2" s="2214"/>
      <c r="AE2" s="2214"/>
      <c r="AF2" s="2215"/>
      <c r="AG2" s="2213" t="e">
        <f>INDEX(PT_DIFFERENTIATION_NTAR,MATCH(A2,PT_DIFFERENTIATION_NTAR_ID,0))</f>
        <v>#N/A</v>
      </c>
      <c r="AH2" s="2214"/>
      <c r="AI2" s="2214"/>
      <c r="AJ2" s="2214"/>
      <c r="AK2" s="2214"/>
      <c r="AL2" s="2214"/>
      <c r="AM2" s="2214"/>
      <c r="AN2" s="2214"/>
      <c r="AO2" s="2214"/>
      <c r="AP2" s="2215"/>
      <c r="AQ2" s="1185" t="s">
        <v>398</v>
      </c>
      <c r="AS2" s="437"/>
      <c r="AT2" s="437" t="str">
        <f t="shared" ref="AT2:AT8" si="0">IF(V2="","",V2)</f>
        <v>Наименование тарифа</v>
      </c>
      <c r="AU2" s="437"/>
      <c r="AV2" s="437"/>
      <c r="AW2" s="1082">
        <v>0</v>
      </c>
    </row>
    <row r="3" spans="1:49" ht="21" hidden="1" customHeight="1">
      <c r="A3" s="1194"/>
      <c r="B3" s="1194"/>
      <c r="C3" s="1194"/>
      <c r="D3" s="1194"/>
      <c r="E3" s="2246"/>
      <c r="F3" s="2245">
        <v>1</v>
      </c>
      <c r="G3" s="1194"/>
      <c r="H3" s="1194"/>
      <c r="I3" s="1194"/>
      <c r="J3" s="1194"/>
      <c r="K3" s="1194"/>
      <c r="L3" s="1194"/>
      <c r="M3" s="1237"/>
      <c r="N3" s="625"/>
      <c r="O3" s="625"/>
      <c r="P3" s="625"/>
      <c r="Q3" s="1259"/>
      <c r="R3" s="289"/>
      <c r="S3" s="446"/>
      <c r="T3" s="290"/>
      <c r="U3" s="1263" t="e">
        <f>INDEX(PT_DIFFERENTIATION_NUM_TER,MATCH(B3,PT_DIFFERENTIATION_TER_ID,0))</f>
        <v>#N/A</v>
      </c>
      <c r="V3" s="245" t="s">
        <v>399</v>
      </c>
      <c r="W3" s="237"/>
      <c r="X3" s="2213"/>
      <c r="Y3" s="2214"/>
      <c r="Z3" s="2214"/>
      <c r="AA3" s="2214"/>
      <c r="AB3" s="2214"/>
      <c r="AC3" s="2214"/>
      <c r="AD3" s="2214"/>
      <c r="AE3" s="2214"/>
      <c r="AF3" s="2215"/>
      <c r="AG3" s="2213" t="e">
        <f>INDEX(PT_DIFFERENTIATION_TER,MATCH(B3,PT_DIFFERENTIATION_TER_ID,0))</f>
        <v>#N/A</v>
      </c>
      <c r="AH3" s="2214"/>
      <c r="AI3" s="2214"/>
      <c r="AJ3" s="2214"/>
      <c r="AK3" s="2214"/>
      <c r="AL3" s="2214"/>
      <c r="AM3" s="2214"/>
      <c r="AN3" s="2214"/>
      <c r="AO3" s="2214"/>
      <c r="AP3" s="2215"/>
      <c r="AQ3" s="1185" t="s">
        <v>400</v>
      </c>
      <c r="AS3" s="437"/>
      <c r="AT3" s="437" t="str">
        <f t="shared" si="0"/>
        <v>Территория действия тарифа</v>
      </c>
      <c r="AU3" s="437"/>
      <c r="AV3" s="437"/>
      <c r="AW3" s="1082">
        <v>0</v>
      </c>
    </row>
    <row r="4" spans="1:49" ht="22.5" hidden="1" customHeight="1">
      <c r="A4" s="1194"/>
      <c r="B4" s="1194"/>
      <c r="C4" s="1194"/>
      <c r="D4" s="1194"/>
      <c r="E4" s="2246"/>
      <c r="F4" s="2246"/>
      <c r="G4" s="2245">
        <v>1</v>
      </c>
      <c r="H4" s="1194"/>
      <c r="I4" s="1194"/>
      <c r="J4" s="1194"/>
      <c r="K4" s="1194"/>
      <c r="L4" s="1194"/>
      <c r="M4" s="1237"/>
      <c r="N4" s="625"/>
      <c r="O4" s="625"/>
      <c r="P4" s="625"/>
      <c r="Q4" s="291"/>
      <c r="R4" s="289"/>
      <c r="S4" s="446"/>
      <c r="T4" s="290"/>
      <c r="U4" s="1263" t="e">
        <f>INDEX(PT_DIFFERENTIATION_NUM_CS,MATCH(C4,PT_DIFFERENTIATION_CS_ID,0))</f>
        <v>#N/A</v>
      </c>
      <c r="V4" s="246" t="s">
        <v>401</v>
      </c>
      <c r="W4" s="237"/>
      <c r="X4" s="2213"/>
      <c r="Y4" s="2214"/>
      <c r="Z4" s="2214"/>
      <c r="AA4" s="2214"/>
      <c r="AB4" s="2214"/>
      <c r="AC4" s="2214"/>
      <c r="AD4" s="2214"/>
      <c r="AE4" s="2214"/>
      <c r="AF4" s="2215"/>
      <c r="AG4" s="2213" t="e">
        <f>INDEX(PT_DIFFERENTIATION_CS,MATCH(C4,PT_DIFFERENTIATION_CS_ID,0))</f>
        <v>#N/A</v>
      </c>
      <c r="AH4" s="2214"/>
      <c r="AI4" s="2214"/>
      <c r="AJ4" s="2214"/>
      <c r="AK4" s="2214"/>
      <c r="AL4" s="2214"/>
      <c r="AM4" s="2214"/>
      <c r="AN4" s="2214"/>
      <c r="AO4" s="2214"/>
      <c r="AP4" s="2215"/>
      <c r="AQ4" s="1185" t="s">
        <v>402</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46"/>
      <c r="F5" s="2246"/>
      <c r="G5" s="2246"/>
      <c r="H5" s="2245">
        <v>1</v>
      </c>
      <c r="I5" s="1194"/>
      <c r="J5" s="1194"/>
      <c r="K5" s="1194"/>
      <c r="L5" s="1194"/>
      <c r="M5" s="1237"/>
      <c r="N5" s="625"/>
      <c r="O5" s="625"/>
      <c r="P5" s="625"/>
      <c r="Q5" s="291"/>
      <c r="R5" s="289"/>
      <c r="S5" s="446"/>
      <c r="T5" s="290"/>
      <c r="U5" s="1263" t="e">
        <f>INDEX(PT_DIFFERENTIATION_NUM_IST_TE,MATCH(D5,PT_DIFFERENTIATION_IST_TE_ID,0))</f>
        <v>#N/A</v>
      </c>
      <c r="V5" s="247" t="s">
        <v>403</v>
      </c>
      <c r="W5" s="237"/>
      <c r="X5" s="2213"/>
      <c r="Y5" s="2214"/>
      <c r="Z5" s="2214"/>
      <c r="AA5" s="2214"/>
      <c r="AB5" s="2214"/>
      <c r="AC5" s="2214"/>
      <c r="AD5" s="2214"/>
      <c r="AE5" s="2214"/>
      <c r="AF5" s="2215"/>
      <c r="AG5" s="2213" t="e">
        <f>INDEX(PT_DIFFERENTIATION_IST_TE,MATCH(D5,PT_DIFFERENTIATION_IST_TE_ID,0))</f>
        <v>#N/A</v>
      </c>
      <c r="AH5" s="2214"/>
      <c r="AI5" s="2214"/>
      <c r="AJ5" s="2214"/>
      <c r="AK5" s="2214"/>
      <c r="AL5" s="2214"/>
      <c r="AM5" s="2214"/>
      <c r="AN5" s="2214"/>
      <c r="AO5" s="2214"/>
      <c r="AP5" s="2215"/>
      <c r="AQ5" s="1185" t="s">
        <v>404</v>
      </c>
      <c r="AS5" s="437"/>
      <c r="AT5" s="437" t="str">
        <f t="shared" si="0"/>
        <v xml:space="preserve">Источник тепловой энергии  </v>
      </c>
      <c r="AU5" s="437"/>
      <c r="AV5" s="437"/>
      <c r="AW5" s="1082">
        <v>0</v>
      </c>
    </row>
    <row r="6" spans="1:49" ht="14.25" hidden="1" customHeight="1">
      <c r="A6" s="1194"/>
      <c r="B6" s="1194"/>
      <c r="C6" s="1194"/>
      <c r="D6" s="1194"/>
      <c r="E6" s="2246"/>
      <c r="F6" s="2246"/>
      <c r="G6" s="2246"/>
      <c r="H6" s="2246"/>
      <c r="I6" s="2091" t="e">
        <f>U5&amp;".1"</f>
        <v>#N/A</v>
      </c>
      <c r="J6" s="1194"/>
      <c r="K6" s="1194"/>
      <c r="L6" s="1194"/>
      <c r="M6" s="1237" t="s">
        <v>405</v>
      </c>
      <c r="N6" s="446"/>
      <c r="Q6" s="2223">
        <v>1</v>
      </c>
      <c r="R6" s="1258"/>
      <c r="S6" s="1258"/>
      <c r="T6" s="293"/>
      <c r="U6" s="972"/>
      <c r="V6" s="1310"/>
      <c r="W6" s="1311"/>
      <c r="X6" s="2250"/>
      <c r="Y6" s="2251"/>
      <c r="Z6" s="2251"/>
      <c r="AA6" s="2251"/>
      <c r="AB6" s="2251"/>
      <c r="AC6" s="2251"/>
      <c r="AD6" s="2251"/>
      <c r="AE6" s="2251"/>
      <c r="AF6" s="2252"/>
      <c r="AG6" s="2250"/>
      <c r="AH6" s="2251"/>
      <c r="AI6" s="2251"/>
      <c r="AJ6" s="2251"/>
      <c r="AK6" s="2251"/>
      <c r="AL6" s="2251"/>
      <c r="AM6" s="2251"/>
      <c r="AN6" s="2251"/>
      <c r="AO6" s="2251"/>
      <c r="AP6" s="2252"/>
      <c r="AQ6" s="1312"/>
      <c r="AS6" s="437"/>
      <c r="AT6" s="437" t="str">
        <f t="shared" si="0"/>
        <v/>
      </c>
      <c r="AU6" s="437"/>
      <c r="AV6" s="437"/>
      <c r="AW6" s="1082">
        <v>0</v>
      </c>
    </row>
    <row r="7" spans="1:49" ht="21" hidden="1" customHeight="1">
      <c r="A7" s="1194"/>
      <c r="B7" s="1194"/>
      <c r="C7" s="1194"/>
      <c r="D7" s="1194"/>
      <c r="E7" s="2246"/>
      <c r="F7" s="2246"/>
      <c r="G7" s="2246"/>
      <c r="H7" s="2246"/>
      <c r="I7" s="2073"/>
      <c r="J7" s="2091" t="e">
        <f>I6&amp;".1"</f>
        <v>#N/A</v>
      </c>
      <c r="K7" s="1194"/>
      <c r="L7" s="1194"/>
      <c r="M7" s="1237" t="s">
        <v>408</v>
      </c>
      <c r="N7" s="446"/>
      <c r="O7" s="264"/>
      <c r="Q7" s="2223"/>
      <c r="R7" s="2223">
        <v>1</v>
      </c>
      <c r="S7" s="455"/>
      <c r="T7" s="294"/>
      <c r="U7" s="1263" t="e">
        <f>$J7</f>
        <v>#N/A</v>
      </c>
      <c r="V7" s="223" t="s">
        <v>409</v>
      </c>
      <c r="W7" s="237"/>
      <c r="X7" s="2207"/>
      <c r="Y7" s="2208"/>
      <c r="Z7" s="2208"/>
      <c r="AA7" s="2208"/>
      <c r="AB7" s="2208"/>
      <c r="AC7" s="2203"/>
      <c r="AD7" s="2203"/>
      <c r="AE7" s="2203"/>
      <c r="AF7" s="2263"/>
      <c r="AG7" s="2207"/>
      <c r="AH7" s="2208"/>
      <c r="AI7" s="2208"/>
      <c r="AJ7" s="2208"/>
      <c r="AK7" s="2208"/>
      <c r="AL7" s="2208"/>
      <c r="AM7" s="2208"/>
      <c r="AN7" s="2208"/>
      <c r="AO7" s="2208"/>
      <c r="AP7" s="2209"/>
      <c r="AQ7" s="1185" t="s">
        <v>410</v>
      </c>
      <c r="AS7" s="437"/>
      <c r="AT7" s="437" t="str">
        <f t="shared" si="0"/>
        <v>Группа потребителей</v>
      </c>
      <c r="AU7" s="437"/>
      <c r="AV7" s="437"/>
      <c r="AW7" s="1082">
        <v>0</v>
      </c>
    </row>
    <row r="8" spans="1:49" ht="21" hidden="1" customHeight="1">
      <c r="A8" s="1194"/>
      <c r="B8" s="1194"/>
      <c r="C8" s="1194"/>
      <c r="D8" s="1194"/>
      <c r="E8" s="2246"/>
      <c r="F8" s="2246"/>
      <c r="G8" s="2246"/>
      <c r="H8" s="2246"/>
      <c r="I8" s="2073"/>
      <c r="J8" s="2073"/>
      <c r="K8" s="2091" t="e">
        <f>J7&amp;".1"</f>
        <v>#N/A</v>
      </c>
      <c r="L8" s="77"/>
      <c r="M8" s="1237" t="s">
        <v>411</v>
      </c>
      <c r="N8" s="446"/>
      <c r="O8" s="264"/>
      <c r="P8" s="264"/>
      <c r="Q8" s="2223"/>
      <c r="R8" s="2223"/>
      <c r="S8" s="2223">
        <v>1</v>
      </c>
      <c r="T8" s="294"/>
      <c r="U8" s="1263" t="e">
        <f>$K8</f>
        <v>#N/A</v>
      </c>
      <c r="V8" s="1274"/>
      <c r="W8" s="237"/>
      <c r="X8" s="688"/>
      <c r="Y8" s="688"/>
      <c r="Z8" s="688"/>
      <c r="AA8" s="688"/>
      <c r="AB8" s="1332"/>
      <c r="AC8" s="2224"/>
      <c r="AD8" s="2102" t="s">
        <v>65</v>
      </c>
      <c r="AE8" s="2224"/>
      <c r="AF8" s="2102" t="s">
        <v>65</v>
      </c>
      <c r="AG8" s="1334"/>
      <c r="AH8" s="688"/>
      <c r="AI8" s="688"/>
      <c r="AJ8" s="688"/>
      <c r="AK8" s="1184"/>
      <c r="AL8" s="2224"/>
      <c r="AM8" s="2102" t="s">
        <v>65</v>
      </c>
      <c r="AN8" s="2224"/>
      <c r="AO8" s="2102" t="s">
        <v>65</v>
      </c>
      <c r="AP8" s="262"/>
      <c r="AQ8" s="1234" t="s">
        <v>454</v>
      </c>
      <c r="AR8" s="448" t="e">
        <f ca="1">STRCHECKDATE(X10:AP10)</f>
        <v>#NAME?</v>
      </c>
      <c r="AS8" s="437"/>
      <c r="AT8" s="437" t="str">
        <f t="shared" si="0"/>
        <v/>
      </c>
      <c r="AU8" s="437"/>
      <c r="AV8" s="437"/>
      <c r="AW8" s="1082">
        <v>0</v>
      </c>
    </row>
    <row r="9" spans="1:49" ht="21" hidden="1" customHeight="1">
      <c r="A9" s="1194"/>
      <c r="B9" s="1194"/>
      <c r="C9" s="1194"/>
      <c r="D9" s="1194"/>
      <c r="E9" s="2246"/>
      <c r="F9" s="2246"/>
      <c r="G9" s="2246"/>
      <c r="H9" s="2246"/>
      <c r="I9" s="2073"/>
      <c r="J9" s="2073"/>
      <c r="K9" s="2073"/>
      <c r="L9" s="2091" t="e">
        <f>K8&amp;".1"</f>
        <v>#N/A</v>
      </c>
      <c r="M9" s="1237"/>
      <c r="N9" s="446"/>
      <c r="O9" s="264"/>
      <c r="P9" s="264"/>
      <c r="Q9" s="2223"/>
      <c r="R9" s="2223"/>
      <c r="S9" s="2223"/>
      <c r="T9" s="294"/>
      <c r="U9" s="1263" t="e">
        <f>$L9</f>
        <v>#N/A</v>
      </c>
      <c r="V9" s="1318"/>
      <c r="W9" s="237"/>
      <c r="X9" s="262"/>
      <c r="Y9" s="688"/>
      <c r="Z9" s="688"/>
      <c r="AA9" s="688"/>
      <c r="AB9" s="1332"/>
      <c r="AC9" s="2225"/>
      <c r="AD9" s="2102"/>
      <c r="AE9" s="2225"/>
      <c r="AF9" s="2102"/>
      <c r="AG9" s="1334"/>
      <c r="AH9" s="688"/>
      <c r="AI9" s="688"/>
      <c r="AJ9" s="688"/>
      <c r="AK9" s="1184"/>
      <c r="AL9" s="2225"/>
      <c r="AM9" s="2102"/>
      <c r="AN9" s="2225"/>
      <c r="AO9" s="2102"/>
      <c r="AP9" s="262"/>
      <c r="AQ9" s="2242" t="s">
        <v>455</v>
      </c>
      <c r="AS9" s="437"/>
      <c r="AT9" s="437"/>
      <c r="AU9" s="437"/>
      <c r="AV9" s="437"/>
      <c r="AW9" s="1082">
        <v>0</v>
      </c>
    </row>
    <row r="10" spans="1:49" ht="14.25" hidden="1" customHeight="1">
      <c r="A10" s="1194"/>
      <c r="B10" s="1194"/>
      <c r="C10" s="1194"/>
      <c r="D10" s="1194"/>
      <c r="E10" s="2246"/>
      <c r="F10" s="2246"/>
      <c r="G10" s="2246"/>
      <c r="H10" s="2246"/>
      <c r="I10" s="2073"/>
      <c r="J10" s="2073"/>
      <c r="K10" s="2073"/>
      <c r="L10" s="2091"/>
      <c r="M10" s="1237"/>
      <c r="N10" s="446"/>
      <c r="O10" s="264"/>
      <c r="P10" s="264"/>
      <c r="Q10" s="2223"/>
      <c r="R10" s="2223"/>
      <c r="S10" s="2223"/>
      <c r="T10" s="294"/>
      <c r="U10" s="1269"/>
      <c r="V10" s="237"/>
      <c r="W10" s="237"/>
      <c r="X10" s="262"/>
      <c r="Y10" s="262"/>
      <c r="Z10" s="262"/>
      <c r="AA10" s="262"/>
      <c r="AB10" s="1333" t="str">
        <f>AC8&amp;"-"&amp;AE8</f>
        <v>-</v>
      </c>
      <c r="AC10" s="2225"/>
      <c r="AD10" s="2102"/>
      <c r="AE10" s="2225"/>
      <c r="AF10" s="2102"/>
      <c r="AG10" s="1309"/>
      <c r="AH10" s="262"/>
      <c r="AI10" s="262"/>
      <c r="AJ10" s="262"/>
      <c r="AK10" s="265" t="str">
        <f>AL8&amp;"-"&amp;AN8</f>
        <v>-</v>
      </c>
      <c r="AL10" s="2225"/>
      <c r="AM10" s="2102"/>
      <c r="AN10" s="2225"/>
      <c r="AO10" s="2102"/>
      <c r="AP10" s="262"/>
      <c r="AQ10" s="2243"/>
      <c r="AS10" s="437"/>
      <c r="AT10" s="437" t="str">
        <f>IF(V10="","",V10)</f>
        <v/>
      </c>
      <c r="AU10" s="437"/>
      <c r="AV10" s="437"/>
      <c r="AW10" s="1082">
        <v>0</v>
      </c>
    </row>
    <row r="11" spans="1:49" ht="11.25" hidden="1" customHeight="1">
      <c r="A11" s="1194"/>
      <c r="B11" s="1194"/>
      <c r="C11" s="1194"/>
      <c r="D11" s="1194"/>
      <c r="E11" s="2246"/>
      <c r="F11" s="2246"/>
      <c r="G11" s="2246"/>
      <c r="H11" s="2246"/>
      <c r="I11" s="2073"/>
      <c r="J11" s="2073"/>
      <c r="K11" s="2091"/>
      <c r="L11" s="1194"/>
      <c r="M11" s="1237"/>
      <c r="N11" s="446"/>
      <c r="O11" s="264"/>
      <c r="P11" s="264"/>
      <c r="Q11" s="2223"/>
      <c r="R11" s="2223"/>
      <c r="S11" s="2223"/>
      <c r="T11" s="294"/>
      <c r="U11" s="1205"/>
      <c r="V11" s="225" t="s">
        <v>456</v>
      </c>
      <c r="W11" s="1319"/>
      <c r="X11" s="1320"/>
      <c r="Y11" s="1320"/>
      <c r="Z11" s="1320"/>
      <c r="AA11" s="1320"/>
      <c r="AB11" s="1321"/>
      <c r="AC11" s="2225"/>
      <c r="AD11" s="2102"/>
      <c r="AE11" s="2225"/>
      <c r="AF11" s="2102"/>
      <c r="AG11" s="1320"/>
      <c r="AH11" s="1320"/>
      <c r="AI11" s="1320"/>
      <c r="AJ11" s="1320"/>
      <c r="AK11" s="1321"/>
      <c r="AL11" s="2225"/>
      <c r="AM11" s="2102"/>
      <c r="AN11" s="2225"/>
      <c r="AO11" s="2102"/>
      <c r="AP11" s="1322"/>
      <c r="AQ11" s="2243"/>
      <c r="AS11" s="437"/>
      <c r="AT11" s="437"/>
      <c r="AU11" s="437"/>
      <c r="AV11" s="437"/>
      <c r="AW11" s="1082">
        <v>0</v>
      </c>
    </row>
    <row r="12" spans="1:49" ht="15" hidden="1" customHeight="1">
      <c r="A12" s="1194"/>
      <c r="B12" s="1194"/>
      <c r="C12" s="1194"/>
      <c r="D12" s="1194"/>
      <c r="E12" s="2246"/>
      <c r="F12" s="2246"/>
      <c r="G12" s="2246"/>
      <c r="H12" s="2246"/>
      <c r="I12" s="2073"/>
      <c r="J12" s="2091"/>
      <c r="K12" s="1194"/>
      <c r="L12" s="1194"/>
      <c r="M12" s="1237"/>
      <c r="N12" s="446"/>
      <c r="O12" s="264"/>
      <c r="Q12" s="2223"/>
      <c r="R12" s="2223"/>
      <c r="S12" s="1258"/>
      <c r="T12" s="293"/>
      <c r="U12" s="1205"/>
      <c r="V12" s="224" t="s">
        <v>413</v>
      </c>
      <c r="W12" s="304"/>
      <c r="X12" s="304"/>
      <c r="Y12" s="304"/>
      <c r="Z12" s="304"/>
      <c r="AA12" s="304"/>
      <c r="AB12" s="304"/>
      <c r="AC12" s="1335"/>
      <c r="AD12" s="1335"/>
      <c r="AE12" s="1335"/>
      <c r="AF12" s="1335"/>
      <c r="AG12" s="304"/>
      <c r="AH12" s="304"/>
      <c r="AI12" s="304"/>
      <c r="AJ12" s="304"/>
      <c r="AK12" s="304"/>
      <c r="AL12" s="304"/>
      <c r="AM12" s="304"/>
      <c r="AN12" s="304"/>
      <c r="AO12" s="304"/>
      <c r="AP12" s="261"/>
      <c r="AQ12" s="224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46"/>
      <c r="F13" s="2246"/>
      <c r="G13" s="2246"/>
      <c r="H13" s="2246"/>
      <c r="I13" s="2091"/>
      <c r="J13" s="1194"/>
      <c r="K13" s="1194"/>
      <c r="L13" s="1194"/>
      <c r="M13" s="1237"/>
      <c r="N13" s="446"/>
      <c r="Q13" s="2223"/>
      <c r="R13" s="1258"/>
      <c r="S13" s="1258"/>
      <c r="T13" s="293"/>
      <c r="U13" s="1205"/>
      <c r="V13" s="302" t="s">
        <v>414</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46"/>
      <c r="F14" s="2246"/>
      <c r="G14" s="2246"/>
      <c r="H14" s="224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46"/>
      <c r="F15" s="2246"/>
      <c r="G15" s="2245"/>
      <c r="H15" s="1301"/>
      <c r="I15" s="1301"/>
      <c r="J15" s="1301"/>
      <c r="K15" s="1301"/>
      <c r="L15" s="1301"/>
      <c r="M15" s="1304"/>
      <c r="N15" s="1305"/>
      <c r="O15" s="1305"/>
      <c r="P15" s="288"/>
      <c r="Q15" s="1243"/>
      <c r="R15" s="1244"/>
      <c r="S15" s="1243"/>
      <c r="T15" s="1243"/>
      <c r="U15" s="1245"/>
      <c r="V15" s="1246" t="s">
        <v>416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46"/>
      <c r="F16" s="2245"/>
      <c r="G16" s="1301"/>
      <c r="H16" s="1301"/>
      <c r="I16" s="1301"/>
      <c r="J16" s="1301"/>
      <c r="K16" s="1301"/>
      <c r="L16" s="1301"/>
      <c r="M16" s="1304"/>
      <c r="N16" s="1306"/>
      <c r="O16" s="1306"/>
      <c r="P16" s="288"/>
      <c r="Q16" s="1243"/>
      <c r="R16" s="1244"/>
      <c r="S16" s="1243"/>
      <c r="T16" s="1243"/>
      <c r="U16" s="1249"/>
      <c r="V16" s="1250" t="s">
        <v>417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45"/>
      <c r="F17" s="1301"/>
      <c r="G17" s="1301"/>
      <c r="H17" s="1301"/>
      <c r="I17" s="1301"/>
      <c r="J17" s="1301"/>
      <c r="K17" s="1301"/>
      <c r="L17" s="1301"/>
      <c r="M17" s="1304"/>
      <c r="N17" s="1306"/>
      <c r="O17" s="1306"/>
      <c r="P17" s="288"/>
      <c r="Q17" s="1243"/>
      <c r="R17" s="1244"/>
      <c r="S17" s="1243"/>
      <c r="T17" s="1243"/>
      <c r="U17" s="1249"/>
      <c r="V17" s="1252" t="s">
        <v>418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17"/>
      <c r="AM19" s="2216" t="s">
        <v>65</v>
      </c>
      <c r="AN19" s="2217"/>
      <c r="AO19" s="2216" t="s">
        <v>65</v>
      </c>
      <c r="AW19" s="1082">
        <v>0</v>
      </c>
    </row>
    <row r="20" spans="1:49" ht="14.25" hidden="1" customHeight="1">
      <c r="AG20" s="1287"/>
      <c r="AH20" s="1287"/>
      <c r="AI20" s="1287"/>
      <c r="AJ20" s="1287"/>
      <c r="AK20" s="1288"/>
      <c r="AL20" s="2217"/>
      <c r="AM20" s="2216"/>
      <c r="AN20" s="2217"/>
      <c r="AO20" s="2216"/>
      <c r="AW20" s="1082">
        <v>0</v>
      </c>
    </row>
    <row r="21" spans="1:49" ht="14.25" hidden="1" customHeight="1">
      <c r="AG21" s="1287"/>
      <c r="AH21" s="1287"/>
      <c r="AI21" s="1287"/>
      <c r="AJ21" s="1287"/>
      <c r="AK21" s="1288"/>
      <c r="AL21" s="2217"/>
      <c r="AM21" s="2216"/>
      <c r="AN21" s="2217"/>
      <c r="AO21" s="2216"/>
      <c r="AW21" s="1082">
        <v>0</v>
      </c>
    </row>
    <row r="22" spans="1:49" ht="14.25" hidden="1" customHeight="1">
      <c r="AG22" s="1287"/>
      <c r="AH22" s="1287"/>
      <c r="AI22" s="1287"/>
      <c r="AJ22" s="1287"/>
      <c r="AK22" s="265" t="str">
        <f>AL19&amp;"-"&amp;AN19</f>
        <v>-</v>
      </c>
      <c r="AL22" s="2216"/>
      <c r="AM22" s="2216"/>
      <c r="AN22" s="2216"/>
      <c r="AO22" s="221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3" t="s">
        <v>422</v>
      </c>
      <c r="AF26" s="123" t="s">
        <v>423</v>
      </c>
      <c r="AG26" s="1087" t="s">
        <v>421</v>
      </c>
      <c r="AM26" s="123" t="s">
        <v>424</v>
      </c>
      <c r="AO26" s="123"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0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00"/>
      <c r="W30" s="2200"/>
      <c r="X30" s="2200"/>
      <c r="Y30" s="2200"/>
      <c r="Z30" s="2200"/>
      <c r="AA30" s="2200"/>
      <c r="AB30" s="2200"/>
      <c r="AC30" s="2200"/>
      <c r="AD30" s="2200"/>
      <c r="AE30" s="2200"/>
      <c r="AF30" s="2200"/>
      <c r="AG30" s="2200"/>
      <c r="AH30" s="2200"/>
      <c r="AI30" s="2200"/>
      <c r="AJ30" s="2200"/>
      <c r="AK30" s="2200"/>
      <c r="AL30" s="2200"/>
      <c r="AM30" s="2200"/>
      <c r="AN30" s="2200"/>
      <c r="AO30" s="1170"/>
      <c r="AW30" s="1082">
        <v>54</v>
      </c>
    </row>
    <row r="31" spans="1:49" ht="14.65" customHeight="1">
      <c r="R31" s="313"/>
      <c r="S31" s="313"/>
      <c r="T31" s="313"/>
      <c r="U31" s="2172" t="str">
        <f>IF(org=0,"Не определено",org)</f>
        <v>МУП "Михайловское водопроводно-канализационное хозяйство"</v>
      </c>
      <c r="V31" s="2172"/>
      <c r="W31" s="2172"/>
      <c r="X31" s="2172"/>
      <c r="Y31" s="2172"/>
      <c r="Z31" s="2172"/>
      <c r="AA31" s="2172"/>
      <c r="AB31" s="2172"/>
      <c r="AC31" s="2172"/>
      <c r="AD31" s="2172"/>
      <c r="AE31" s="2172"/>
      <c r="AF31" s="2172"/>
      <c r="AG31" s="2172"/>
      <c r="AH31" s="2172"/>
      <c r="AI31" s="2172"/>
      <c r="AJ31" s="2172"/>
      <c r="AK31" s="2172"/>
      <c r="AL31" s="2172"/>
      <c r="AM31" s="2172"/>
      <c r="AN31" s="2172"/>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210" t="s">
        <v>42</v>
      </c>
      <c r="V33" s="2210"/>
      <c r="W33" s="1299"/>
      <c r="X33" s="2212" t="str">
        <f>IF(TITLE_NAME_OR_PR_CHANGE="",IF(TITLE_NAME_OR_PR="","",TITLE_NAME_OR_PR),TITLE_NAME_OR_PR_CHANGE)</f>
        <v/>
      </c>
      <c r="Y33" s="2212"/>
      <c r="Z33" s="2212"/>
      <c r="AA33" s="2212"/>
      <c r="AB33" s="2212"/>
      <c r="AC33" s="2212"/>
      <c r="AD33" s="2212"/>
      <c r="AE33" s="2212"/>
      <c r="AF33" s="263"/>
      <c r="AG33" s="2212" t="str">
        <f>IF(TITLE_NAME_OR_PR_CHANGE="",IF(TITLE_NAME_OR_PR="","",TITLE_NAME_OR_PR),TITLE_NAME_OR_PR_CHANGE)</f>
        <v/>
      </c>
      <c r="AH33" s="2212"/>
      <c r="AI33" s="2212"/>
      <c r="AJ33" s="2212"/>
      <c r="AK33" s="2212"/>
      <c r="AL33" s="2212"/>
      <c r="AM33" s="2212"/>
      <c r="AN33" s="2212"/>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210" t="s">
        <v>425</v>
      </c>
      <c r="V34" s="2210"/>
      <c r="W34" s="1299"/>
      <c r="X34" s="2211" t="str">
        <f>IF(TITLE_DATE_PR_CHANGE="",IF(TITLE_DATE_PR="","",TITLE_DATE_PR),TITLE_DATE_PR_CHANGE)</f>
        <v/>
      </c>
      <c r="Y34" s="2211"/>
      <c r="Z34" s="2211"/>
      <c r="AA34" s="2211"/>
      <c r="AB34" s="2211"/>
      <c r="AC34" s="2211"/>
      <c r="AD34" s="2211"/>
      <c r="AE34" s="2211"/>
      <c r="AF34" s="263"/>
      <c r="AG34" s="2211" t="str">
        <f>IF(TITLE_DATE_PR_CHANGE="",IF(TITLE_DATE_PR="","",TITLE_DATE_PR),TITLE_DATE_PR_CHANGE)</f>
        <v/>
      </c>
      <c r="AH34" s="2211"/>
      <c r="AI34" s="2211"/>
      <c r="AJ34" s="2211"/>
      <c r="AK34" s="2211"/>
      <c r="AL34" s="2211"/>
      <c r="AM34" s="2211"/>
      <c r="AN34" s="2211"/>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210" t="s">
        <v>426</v>
      </c>
      <c r="V35" s="2210"/>
      <c r="W35" s="1299"/>
      <c r="X35" s="2212" t="str">
        <f>IF(TITLE_NUMBER_PR_CHANGE="",IF(TITLE_NUMBER_PR="","",TITLE_NUMBER_PR),TITLE_NUMBER_PR_CHANGE)</f>
        <v/>
      </c>
      <c r="Y35" s="2212"/>
      <c r="Z35" s="2212"/>
      <c r="AA35" s="2212"/>
      <c r="AB35" s="2212"/>
      <c r="AC35" s="2212"/>
      <c r="AD35" s="2212"/>
      <c r="AE35" s="2212"/>
      <c r="AF35" s="263"/>
      <c r="AG35" s="2212" t="str">
        <f>IF(TITLE_NUMBER_PR_CHANGE="",IF(TITLE_NUMBER_PR="","",TITLE_NUMBER_PR),TITLE_NUMBER_PR_CHANGE)</f>
        <v/>
      </c>
      <c r="AH35" s="2212"/>
      <c r="AI35" s="2212"/>
      <c r="AJ35" s="2212"/>
      <c r="AK35" s="2212"/>
      <c r="AL35" s="2212"/>
      <c r="AM35" s="2212"/>
      <c r="AN35" s="2212"/>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210" t="s">
        <v>43</v>
      </c>
      <c r="V36" s="2210"/>
      <c r="W36" s="1299"/>
      <c r="X36" s="2212" t="str">
        <f>IF(TITLE_IST_PUB_CHANGE="",IF(TITLE_IST_PUB="","",TITLE_IST_PUB),TITLE_IST_PUB_CHANGE)</f>
        <v/>
      </c>
      <c r="Y36" s="2212"/>
      <c r="Z36" s="2212"/>
      <c r="AA36" s="2212"/>
      <c r="AB36" s="2212"/>
      <c r="AC36" s="2212"/>
      <c r="AD36" s="2212"/>
      <c r="AE36" s="2212"/>
      <c r="AF36" s="263"/>
      <c r="AG36" s="2212" t="str">
        <f>IF(TITLE_IST_PUB_CHANGE="",IF(TITLE_IST_PUB="","",TITLE_IST_PUB),TITLE_IST_PUB_CHANGE)</f>
        <v/>
      </c>
      <c r="AH36" s="2212"/>
      <c r="AI36" s="2212"/>
      <c r="AJ36" s="2212"/>
      <c r="AK36" s="2212"/>
      <c r="AL36" s="2212"/>
      <c r="AM36" s="2212"/>
      <c r="AN36" s="2212"/>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210" t="s">
        <v>427</v>
      </c>
      <c r="V38" s="2210"/>
      <c r="W38" s="1299"/>
      <c r="X38" s="2211" t="str">
        <f>IF(TITLE_DATE_PR_CHANGE="",IF(TITLE_DATE_PR="","",TITLE_DATE_PR),TITLE_DATE_PR_CHANGE)</f>
        <v/>
      </c>
      <c r="Y38" s="2211"/>
      <c r="Z38" s="2211"/>
      <c r="AA38" s="2211"/>
      <c r="AB38" s="2211"/>
      <c r="AC38" s="2211"/>
      <c r="AD38" s="2211"/>
      <c r="AE38" s="2211"/>
      <c r="AF38" s="263"/>
      <c r="AG38" s="2211" t="str">
        <f>IF(TITLE_DATE_PR_CHANGE="",IF(TITLE_DATE_PR="","",TITLE_DATE_PR),TITLE_DATE_PR_CHANGE)</f>
        <v/>
      </c>
      <c r="AH38" s="2211"/>
      <c r="AI38" s="2211"/>
      <c r="AJ38" s="2211"/>
      <c r="AK38" s="2211"/>
      <c r="AL38" s="2211"/>
      <c r="AM38" s="2211"/>
      <c r="AN38" s="2211"/>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210" t="s">
        <v>428</v>
      </c>
      <c r="V39" s="2210"/>
      <c r="W39" s="1299"/>
      <c r="X39" s="2212" t="str">
        <f>IF(TITLE_NUMBER_PR_CHANGE="",IF(TITLE_NUMBER_PR="","",TITLE_NUMBER_PR),TITLE_NUMBER_PR_CHANGE)</f>
        <v/>
      </c>
      <c r="Y39" s="2212"/>
      <c r="Z39" s="2212"/>
      <c r="AA39" s="2212"/>
      <c r="AB39" s="2212"/>
      <c r="AC39" s="2212"/>
      <c r="AD39" s="2212"/>
      <c r="AE39" s="2212"/>
      <c r="AF39" s="263"/>
      <c r="AG39" s="2212" t="str">
        <f>IF(TITLE_NUMBER_PR_CHANGE="",IF(TITLE_NUMBER_PR="","",TITLE_NUMBER_PR),TITLE_NUMBER_PR_CHANGE)</f>
        <v/>
      </c>
      <c r="AH39" s="2212"/>
      <c r="AI39" s="2212"/>
      <c r="AJ39" s="2212"/>
      <c r="AK39" s="2212"/>
      <c r="AL39" s="2212"/>
      <c r="AM39" s="2212"/>
      <c r="AN39" s="2212"/>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429</v>
      </c>
      <c r="AG40" s="263"/>
      <c r="AH40" s="263"/>
      <c r="AI40" s="263"/>
      <c r="AJ40" s="263"/>
      <c r="AK40" s="263"/>
      <c r="AL40" s="263"/>
      <c r="AM40" s="263"/>
      <c r="AN40" s="263"/>
      <c r="AO40" s="215" t="s">
        <v>429</v>
      </c>
      <c r="AR40" s="305"/>
      <c r="AS40" s="305"/>
      <c r="AT40" s="305"/>
      <c r="AU40" s="305"/>
      <c r="AV40" s="305"/>
      <c r="AW40" s="355">
        <v>0</v>
      </c>
    </row>
    <row r="41" spans="1:49" ht="14.65" customHeight="1">
      <c r="R41" s="313"/>
      <c r="S41" s="313"/>
      <c r="T41" s="313"/>
      <c r="U41" s="1202"/>
      <c r="V41" s="300"/>
      <c r="W41" s="1171"/>
      <c r="X41" s="2231"/>
      <c r="Y41" s="2231"/>
      <c r="Z41" s="2231"/>
      <c r="AA41" s="2231"/>
      <c r="AB41" s="2231"/>
      <c r="AC41" s="2231"/>
      <c r="AD41" s="2231"/>
      <c r="AE41" s="2231"/>
      <c r="AF41" s="2231"/>
      <c r="AG41" s="2231"/>
      <c r="AH41" s="2231"/>
      <c r="AI41" s="2231"/>
      <c r="AJ41" s="2231"/>
      <c r="AK41" s="2231"/>
      <c r="AL41" s="2231"/>
      <c r="AM41" s="2231"/>
      <c r="AN41" s="2231"/>
      <c r="AO41" s="2231"/>
      <c r="AW41" s="1082">
        <v>14</v>
      </c>
    </row>
    <row r="42" spans="1:49" ht="14.65" customHeight="1">
      <c r="R42" s="313"/>
      <c r="S42" s="313"/>
      <c r="T42" s="313"/>
      <c r="U42" s="2091" t="s">
        <v>302</v>
      </c>
      <c r="V42" s="2091"/>
      <c r="W42" s="2091"/>
      <c r="X42" s="2091"/>
      <c r="Y42" s="2091"/>
      <c r="Z42" s="2091"/>
      <c r="AA42" s="2091"/>
      <c r="AB42" s="2091"/>
      <c r="AC42" s="2091"/>
      <c r="AD42" s="2091"/>
      <c r="AE42" s="2091"/>
      <c r="AF42" s="2091"/>
      <c r="AG42" s="2091"/>
      <c r="AH42" s="2091"/>
      <c r="AI42" s="2091"/>
      <c r="AJ42" s="2091"/>
      <c r="AK42" s="2091"/>
      <c r="AL42" s="2091"/>
      <c r="AM42" s="2091"/>
      <c r="AN42" s="2091"/>
      <c r="AO42" s="2091"/>
      <c r="AP42" s="2091"/>
      <c r="AQ42" s="2091" t="s">
        <v>303</v>
      </c>
      <c r="AW42" s="1082">
        <v>14</v>
      </c>
    </row>
    <row r="43" spans="1:49" ht="14.65" customHeight="1">
      <c r="R43" s="313"/>
      <c r="S43" s="313"/>
      <c r="T43" s="313"/>
      <c r="U43" s="2232" t="s">
        <v>87</v>
      </c>
      <c r="V43" s="2180" t="s">
        <v>430</v>
      </c>
      <c r="W43" s="238"/>
      <c r="X43" s="2233" t="s">
        <v>431</v>
      </c>
      <c r="Y43" s="2249"/>
      <c r="Z43" s="2249"/>
      <c r="AA43" s="2249"/>
      <c r="AB43" s="2249"/>
      <c r="AC43" s="2234"/>
      <c r="AD43" s="2234"/>
      <c r="AE43" s="2235"/>
      <c r="AF43" s="2236" t="s">
        <v>432</v>
      </c>
      <c r="AG43" s="2233" t="s">
        <v>431</v>
      </c>
      <c r="AH43" s="2249"/>
      <c r="AI43" s="2249"/>
      <c r="AJ43" s="2249"/>
      <c r="AK43" s="2249"/>
      <c r="AL43" s="2234"/>
      <c r="AM43" s="2234"/>
      <c r="AN43" s="2235"/>
      <c r="AO43" s="2236" t="s">
        <v>433</v>
      </c>
      <c r="AP43" s="2239" t="s">
        <v>434</v>
      </c>
      <c r="AQ43" s="2091"/>
      <c r="AW43" s="1082">
        <v>14</v>
      </c>
    </row>
    <row r="44" spans="1:49" ht="35.65" customHeight="1">
      <c r="R44" s="313"/>
      <c r="S44" s="313"/>
      <c r="T44" s="313"/>
      <c r="U44" s="2232"/>
      <c r="V44" s="2180"/>
      <c r="W44" s="961"/>
      <c r="X44" s="2151" t="s">
        <v>457</v>
      </c>
      <c r="Y44" s="2091" t="s">
        <v>458</v>
      </c>
      <c r="Z44" s="2091"/>
      <c r="AA44" s="2091"/>
      <c r="AB44" s="2091"/>
      <c r="AC44" s="2151" t="s">
        <v>438</v>
      </c>
      <c r="AD44" s="2261"/>
      <c r="AE44" s="2152"/>
      <c r="AF44" s="2237"/>
      <c r="AG44" s="2151" t="s">
        <v>457</v>
      </c>
      <c r="AH44" s="2091" t="s">
        <v>458</v>
      </c>
      <c r="AI44" s="2091"/>
      <c r="AJ44" s="2091"/>
      <c r="AK44" s="2091"/>
      <c r="AL44" s="2151" t="s">
        <v>438</v>
      </c>
      <c r="AM44" s="2261"/>
      <c r="AN44" s="2152"/>
      <c r="AO44" s="2237"/>
      <c r="AP44" s="2240"/>
      <c r="AQ44" s="2091"/>
      <c r="AW44" s="1082">
        <v>34</v>
      </c>
    </row>
    <row r="45" spans="1:49" ht="14.65" customHeight="1">
      <c r="R45" s="313"/>
      <c r="S45" s="313"/>
      <c r="T45" s="313"/>
      <c r="U45" s="2232"/>
      <c r="V45" s="2180"/>
      <c r="W45" s="961"/>
      <c r="X45" s="2153"/>
      <c r="Y45" s="2186" t="s">
        <v>459</v>
      </c>
      <c r="Z45" s="2185" t="s">
        <v>460</v>
      </c>
      <c r="AA45" s="2198"/>
      <c r="AB45" s="2199"/>
      <c r="AC45" s="2156"/>
      <c r="AD45" s="2262"/>
      <c r="AE45" s="2157"/>
      <c r="AF45" s="2237"/>
      <c r="AG45" s="2153"/>
      <c r="AH45" s="2186" t="s">
        <v>459</v>
      </c>
      <c r="AI45" s="2185" t="s">
        <v>460</v>
      </c>
      <c r="AJ45" s="2198"/>
      <c r="AK45" s="2199"/>
      <c r="AL45" s="2156"/>
      <c r="AM45" s="2262"/>
      <c r="AN45" s="2157"/>
      <c r="AO45" s="2237"/>
      <c r="AP45" s="2240"/>
      <c r="AQ45" s="2091"/>
      <c r="AW45" s="1082">
        <v>14</v>
      </c>
    </row>
    <row r="46" spans="1:49" ht="27.4" customHeight="1">
      <c r="R46" s="313"/>
      <c r="S46" s="313"/>
      <c r="T46" s="313"/>
      <c r="U46" s="2232"/>
      <c r="V46" s="2180"/>
      <c r="W46" s="961"/>
      <c r="X46" s="2153"/>
      <c r="Y46" s="2260"/>
      <c r="Z46" s="2186" t="s">
        <v>461</v>
      </c>
      <c r="AA46" s="2185" t="s">
        <v>462</v>
      </c>
      <c r="AB46" s="2199"/>
      <c r="AC46" s="2186" t="s">
        <v>448</v>
      </c>
      <c r="AD46" s="2190" t="s">
        <v>449</v>
      </c>
      <c r="AE46" s="2188"/>
      <c r="AF46" s="2237"/>
      <c r="AG46" s="2153"/>
      <c r="AH46" s="2260"/>
      <c r="AI46" s="2186" t="s">
        <v>461</v>
      </c>
      <c r="AJ46" s="2185" t="s">
        <v>462</v>
      </c>
      <c r="AK46" s="2199"/>
      <c r="AL46" s="2186" t="s">
        <v>448</v>
      </c>
      <c r="AM46" s="2190" t="s">
        <v>449</v>
      </c>
      <c r="AN46" s="2188"/>
      <c r="AO46" s="2237"/>
      <c r="AP46" s="2240"/>
      <c r="AQ46" s="2091"/>
      <c r="AW46" s="1082">
        <v>26</v>
      </c>
    </row>
    <row r="47" spans="1:49" ht="65.25" customHeight="1">
      <c r="A47" s="1186"/>
      <c r="B47" s="1186" t="s">
        <v>139</v>
      </c>
      <c r="C47" s="1186" t="s">
        <v>140</v>
      </c>
      <c r="D47" s="1186" t="s">
        <v>141</v>
      </c>
      <c r="E47" s="1237" t="s">
        <v>439</v>
      </c>
      <c r="F47" s="1237" t="s">
        <v>440</v>
      </c>
      <c r="G47" s="1237" t="s">
        <v>441</v>
      </c>
      <c r="H47" s="1237" t="s">
        <v>442</v>
      </c>
      <c r="I47" s="1237" t="s">
        <v>443</v>
      </c>
      <c r="J47" s="1237" t="s">
        <v>444</v>
      </c>
      <c r="K47" s="1237" t="s">
        <v>445</v>
      </c>
      <c r="L47" s="1237" t="s">
        <v>463</v>
      </c>
      <c r="M47" s="1237" t="s">
        <v>420</v>
      </c>
      <c r="R47" s="313"/>
      <c r="S47" s="313"/>
      <c r="T47" s="313"/>
      <c r="U47" s="2232"/>
      <c r="V47" s="2180"/>
      <c r="W47" s="239"/>
      <c r="X47" s="2156"/>
      <c r="Y47" s="2187"/>
      <c r="Z47" s="2187"/>
      <c r="AA47" s="1149" t="s">
        <v>464</v>
      </c>
      <c r="AB47" s="1149" t="s">
        <v>465</v>
      </c>
      <c r="AC47" s="2187"/>
      <c r="AD47" s="2191"/>
      <c r="AE47" s="2189"/>
      <c r="AF47" s="2238"/>
      <c r="AG47" s="2156"/>
      <c r="AH47" s="2187"/>
      <c r="AI47" s="2187"/>
      <c r="AJ47" s="1149" t="s">
        <v>464</v>
      </c>
      <c r="AK47" s="1149" t="s">
        <v>465</v>
      </c>
      <c r="AL47" s="2187"/>
      <c r="AM47" s="2191"/>
      <c r="AN47" s="2189"/>
      <c r="AO47" s="2238"/>
      <c r="AP47" s="2241"/>
      <c r="AQ47" s="209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30">
        <f ca="1">OFFSET(AD48,0,-1)+1</f>
        <v>4</v>
      </c>
      <c r="AE48" s="2230"/>
      <c r="AF48" s="1262">
        <f ca="1">OFFSET(AF48,0,-2)+1</f>
        <v>5</v>
      </c>
      <c r="AG48" s="1262">
        <f ca="1">OFFSET(AG48,0,-1)+1</f>
        <v>6</v>
      </c>
      <c r="AH48" s="1262"/>
      <c r="AI48" s="1262"/>
      <c r="AJ48" s="1262">
        <f ca="1">OFFSET(AJ48,0,-1)+1</f>
        <v>1</v>
      </c>
      <c r="AK48" s="1262">
        <f ca="1">OFFSET(AK48,0,-1)+1</f>
        <v>2</v>
      </c>
      <c r="AL48" s="1262">
        <f ca="1">OFFSET(AL48,0,-1)+1</f>
        <v>3</v>
      </c>
      <c r="AM48" s="2230">
        <f ca="1">OFFSET(AM48,0,-1)+1</f>
        <v>4</v>
      </c>
      <c r="AN48" s="2230"/>
      <c r="AO48" s="1262">
        <f ca="1">OFFSET(AO48,0,-2)+1</f>
        <v>5</v>
      </c>
      <c r="AP48" s="1172">
        <f ca="1">OFFSET(AP48,0,-1)</f>
        <v>5</v>
      </c>
      <c r="AQ48" s="1262">
        <f ca="1">OFFSET(AQ48,0,-1)+1</f>
        <v>6</v>
      </c>
      <c r="AR48" s="448"/>
      <c r="AS48" s="448"/>
      <c r="AT48" s="448"/>
      <c r="AU48" s="448"/>
      <c r="AV48" s="448"/>
      <c r="AW48" s="433">
        <v>0</v>
      </c>
    </row>
    <row r="49" spans="1:49" ht="21.95" customHeight="1">
      <c r="A49" s="1194" t="s">
        <v>178</v>
      </c>
      <c r="B49" s="1194"/>
      <c r="C49" s="1194"/>
      <c r="D49" s="1194"/>
      <c r="E49" s="224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127</v>
      </c>
      <c r="W49" s="237"/>
      <c r="X49" s="2213"/>
      <c r="Y49" s="2214"/>
      <c r="Z49" s="2214"/>
      <c r="AA49" s="2214"/>
      <c r="AB49" s="2214"/>
      <c r="AC49" s="2214"/>
      <c r="AD49" s="2214"/>
      <c r="AE49" s="2214"/>
      <c r="AF49" s="2215"/>
      <c r="AG49" s="2213" t="str">
        <f>INDEX(PT_DIFFERENTIATION_NTAR,MATCH(A49,PT_DIFFERENTIATION_NTAR_ID,0))</f>
        <v/>
      </c>
      <c r="AH49" s="2214"/>
      <c r="AI49" s="2214"/>
      <c r="AJ49" s="2214"/>
      <c r="AK49" s="2214"/>
      <c r="AL49" s="2214"/>
      <c r="AM49" s="2214"/>
      <c r="AN49" s="2214"/>
      <c r="AO49" s="2214"/>
      <c r="AP49" s="221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178</v>
      </c>
      <c r="B50" s="1194" t="s">
        <v>179</v>
      </c>
      <c r="C50" s="1194"/>
      <c r="D50" s="1194"/>
      <c r="E50" s="2246"/>
      <c r="F50" s="224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399</v>
      </c>
      <c r="W50" s="237"/>
      <c r="X50" s="2213"/>
      <c r="Y50" s="2214"/>
      <c r="Z50" s="2214"/>
      <c r="AA50" s="2214"/>
      <c r="AB50" s="2214"/>
      <c r="AC50" s="2214"/>
      <c r="AD50" s="2214"/>
      <c r="AE50" s="2214"/>
      <c r="AF50" s="2215"/>
      <c r="AG50" s="2213" t="str">
        <f>INDEX(PT_DIFFERENTIATION_TER,MATCH(B50,PT_DIFFERENTIATION_TER_ID,0))</f>
        <v/>
      </c>
      <c r="AH50" s="2214"/>
      <c r="AI50" s="2214"/>
      <c r="AJ50" s="2214"/>
      <c r="AK50" s="2214"/>
      <c r="AL50" s="2214"/>
      <c r="AM50" s="2214"/>
      <c r="AN50" s="2214"/>
      <c r="AO50" s="2214"/>
      <c r="AP50" s="2215"/>
      <c r="AQ50" s="1185" t="s">
        <v>400</v>
      </c>
      <c r="AS50" s="437"/>
      <c r="AT50" s="437" t="str">
        <f t="shared" si="2"/>
        <v>Территория действия тарифа</v>
      </c>
      <c r="AU50" s="437"/>
      <c r="AV50" s="437"/>
      <c r="AW50" s="1082">
        <v>21</v>
      </c>
    </row>
    <row r="51" spans="1:49" ht="24" customHeight="1">
      <c r="A51" s="1194" t="s">
        <v>178</v>
      </c>
      <c r="B51" s="1194" t="s">
        <v>179</v>
      </c>
      <c r="C51" s="1194" t="s">
        <v>180</v>
      </c>
      <c r="D51" s="1194"/>
      <c r="E51" s="2246"/>
      <c r="F51" s="2246"/>
      <c r="G51" s="2245">
        <v>1</v>
      </c>
      <c r="H51" s="1194"/>
      <c r="I51" s="1194"/>
      <c r="J51" s="1194"/>
      <c r="K51" s="1194"/>
      <c r="L51" s="1194"/>
      <c r="M51" s="1237"/>
      <c r="N51" s="625"/>
      <c r="O51" s="625"/>
      <c r="P51" s="625"/>
      <c r="Q51" s="291"/>
      <c r="R51" s="289"/>
      <c r="S51" s="446"/>
      <c r="T51" s="290"/>
      <c r="U51" s="1263" t="str">
        <f>INDEX(PT_DIFFERENTIATION_NUM_CS,MATCH(C51,PT_DIFFERENTIATION_CS_ID,0))</f>
        <v>..</v>
      </c>
      <c r="V51" s="246" t="s">
        <v>401</v>
      </c>
      <c r="W51" s="237"/>
      <c r="X51" s="2213"/>
      <c r="Y51" s="2214"/>
      <c r="Z51" s="2214"/>
      <c r="AA51" s="2214"/>
      <c r="AB51" s="2214"/>
      <c r="AC51" s="2214"/>
      <c r="AD51" s="2214"/>
      <c r="AE51" s="2214"/>
      <c r="AF51" s="2215"/>
      <c r="AG51" s="2213" t="str">
        <f>INDEX(PT_DIFFERENTIATION_CS,MATCH(C51,PT_DIFFERENTIATION_CS_ID,0))</f>
        <v/>
      </c>
      <c r="AH51" s="2214"/>
      <c r="AI51" s="2214"/>
      <c r="AJ51" s="2214"/>
      <c r="AK51" s="2214"/>
      <c r="AL51" s="2214"/>
      <c r="AM51" s="2214"/>
      <c r="AN51" s="2214"/>
      <c r="AO51" s="2214"/>
      <c r="AP51" s="2215"/>
      <c r="AQ51" s="1185" t="s">
        <v>402</v>
      </c>
      <c r="AS51" s="437"/>
      <c r="AT51" s="437" t="str">
        <f t="shared" si="2"/>
        <v xml:space="preserve">Наименование системы теплоснабжения </v>
      </c>
      <c r="AU51" s="437"/>
      <c r="AV51" s="437"/>
      <c r="AW51" s="1082">
        <v>23</v>
      </c>
    </row>
    <row r="52" spans="1:49" ht="21.95" customHeight="1">
      <c r="A52" s="1194" t="s">
        <v>178</v>
      </c>
      <c r="B52" s="1194" t="s">
        <v>179</v>
      </c>
      <c r="C52" s="1194" t="s">
        <v>180</v>
      </c>
      <c r="D52" s="1194" t="s">
        <v>181</v>
      </c>
      <c r="E52" s="2246"/>
      <c r="F52" s="2246"/>
      <c r="G52" s="2246"/>
      <c r="H52" s="2245">
        <v>1</v>
      </c>
      <c r="I52" s="1194"/>
      <c r="J52" s="1194"/>
      <c r="K52" s="1194"/>
      <c r="L52" s="1194"/>
      <c r="M52" s="1237"/>
      <c r="N52" s="625"/>
      <c r="O52" s="625"/>
      <c r="P52" s="625"/>
      <c r="Q52" s="291"/>
      <c r="R52" s="289"/>
      <c r="S52" s="446"/>
      <c r="T52" s="290"/>
      <c r="U52" s="1263" t="str">
        <f>INDEX(PT_DIFFERENTIATION_NUM_IST_TE,MATCH(D52,PT_DIFFERENTIATION_IST_TE_ID,0))</f>
        <v>...</v>
      </c>
      <c r="V52" s="247" t="s">
        <v>403</v>
      </c>
      <c r="W52" s="237"/>
      <c r="X52" s="2213"/>
      <c r="Y52" s="2214"/>
      <c r="Z52" s="2214"/>
      <c r="AA52" s="2214"/>
      <c r="AB52" s="2214"/>
      <c r="AC52" s="2214"/>
      <c r="AD52" s="2214"/>
      <c r="AE52" s="2214"/>
      <c r="AF52" s="2215"/>
      <c r="AG52" s="2213" t="str">
        <f>INDEX(PT_DIFFERENTIATION_IST_TE,MATCH(D52,PT_DIFFERENTIATION_IST_TE_ID,0))</f>
        <v/>
      </c>
      <c r="AH52" s="2214"/>
      <c r="AI52" s="2214"/>
      <c r="AJ52" s="2214"/>
      <c r="AK52" s="2214"/>
      <c r="AL52" s="2214"/>
      <c r="AM52" s="2214"/>
      <c r="AN52" s="2214"/>
      <c r="AO52" s="2214"/>
      <c r="AP52" s="2215"/>
      <c r="AQ52" s="1185" t="s">
        <v>404</v>
      </c>
      <c r="AS52" s="437"/>
      <c r="AT52" s="437" t="str">
        <f t="shared" si="2"/>
        <v xml:space="preserve">Источник тепловой энергии  </v>
      </c>
      <c r="AU52" s="437"/>
      <c r="AV52" s="437"/>
      <c r="AW52" s="1082">
        <v>21</v>
      </c>
    </row>
    <row r="53" spans="1:49" s="1569" customFormat="1" ht="0" hidden="1" customHeight="1">
      <c r="A53" s="1302" t="s">
        <v>178</v>
      </c>
      <c r="B53" s="1302" t="s">
        <v>179</v>
      </c>
      <c r="C53" s="1302" t="s">
        <v>180</v>
      </c>
      <c r="D53" s="1302" t="s">
        <v>181</v>
      </c>
      <c r="E53" s="2246"/>
      <c r="F53" s="2246"/>
      <c r="G53" s="2246"/>
      <c r="H53" s="2246"/>
      <c r="I53" s="2091" t="str">
        <f>U52&amp;".1"</f>
        <v>....1</v>
      </c>
      <c r="J53" s="1302"/>
      <c r="K53" s="1302"/>
      <c r="L53" s="1302"/>
      <c r="M53" s="1308" t="s">
        <v>405</v>
      </c>
      <c r="N53" s="1173"/>
      <c r="O53" s="1173"/>
      <c r="P53" s="1173"/>
      <c r="Q53" s="2223">
        <v>1</v>
      </c>
      <c r="R53" s="1258"/>
      <c r="S53" s="1258"/>
      <c r="T53" s="293"/>
      <c r="U53" s="972"/>
      <c r="V53" s="1310"/>
      <c r="W53" s="1311"/>
      <c r="X53" s="2250"/>
      <c r="Y53" s="2251"/>
      <c r="Z53" s="2251"/>
      <c r="AA53" s="2251"/>
      <c r="AB53" s="2251"/>
      <c r="AC53" s="2251"/>
      <c r="AD53" s="2251"/>
      <c r="AE53" s="2251"/>
      <c r="AF53" s="2252"/>
      <c r="AG53" s="2250"/>
      <c r="AH53" s="2251"/>
      <c r="AI53" s="2251"/>
      <c r="AJ53" s="2251"/>
      <c r="AK53" s="2251"/>
      <c r="AL53" s="2251"/>
      <c r="AM53" s="2251"/>
      <c r="AN53" s="2251"/>
      <c r="AO53" s="2251"/>
      <c r="AP53" s="2252"/>
      <c r="AQ53" s="1312"/>
      <c r="AS53" s="437"/>
      <c r="AT53" s="437" t="str">
        <f t="shared" si="2"/>
        <v/>
      </c>
      <c r="AU53" s="437"/>
      <c r="AV53" s="437"/>
      <c r="AW53" s="448">
        <v>0</v>
      </c>
    </row>
    <row r="54" spans="1:49" ht="21.95" customHeight="1">
      <c r="A54" s="1194" t="s">
        <v>178</v>
      </c>
      <c r="B54" s="1194" t="s">
        <v>179</v>
      </c>
      <c r="C54" s="1194" t="s">
        <v>180</v>
      </c>
      <c r="D54" s="1194" t="s">
        <v>181</v>
      </c>
      <c r="E54" s="2246"/>
      <c r="F54" s="2246"/>
      <c r="G54" s="2246"/>
      <c r="H54" s="2246"/>
      <c r="I54" s="2073"/>
      <c r="J54" s="2091" t="str">
        <f>I53&amp;".1"</f>
        <v>....1.1</v>
      </c>
      <c r="K54" s="1194"/>
      <c r="L54" s="1194"/>
      <c r="M54" s="1237" t="s">
        <v>408</v>
      </c>
      <c r="Q54" s="2223"/>
      <c r="R54" s="2223">
        <v>1</v>
      </c>
      <c r="S54" s="455"/>
      <c r="T54" s="294"/>
      <c r="U54" s="1263" t="str">
        <f>$J54</f>
        <v>....1.1</v>
      </c>
      <c r="V54" s="223" t="s">
        <v>409</v>
      </c>
      <c r="W54" s="237"/>
      <c r="X54" s="2207"/>
      <c r="Y54" s="2208"/>
      <c r="Z54" s="2208"/>
      <c r="AA54" s="2208"/>
      <c r="AB54" s="2208"/>
      <c r="AC54" s="2203"/>
      <c r="AD54" s="2203"/>
      <c r="AE54" s="2203"/>
      <c r="AF54" s="2263"/>
      <c r="AG54" s="2207"/>
      <c r="AH54" s="2208"/>
      <c r="AI54" s="2208"/>
      <c r="AJ54" s="2208"/>
      <c r="AK54" s="2208"/>
      <c r="AL54" s="2208"/>
      <c r="AM54" s="2208"/>
      <c r="AN54" s="2208"/>
      <c r="AO54" s="2208"/>
      <c r="AP54" s="2209"/>
      <c r="AQ54" s="1185" t="s">
        <v>410</v>
      </c>
      <c r="AS54" s="437"/>
      <c r="AT54" s="437" t="str">
        <f t="shared" si="2"/>
        <v>Группа потребителей</v>
      </c>
      <c r="AU54" s="437"/>
      <c r="AV54" s="437"/>
      <c r="AW54" s="1082">
        <v>21</v>
      </c>
    </row>
    <row r="55" spans="1:49" ht="21.95" customHeight="1">
      <c r="A55" s="1194" t="s">
        <v>178</v>
      </c>
      <c r="B55" s="1194" t="s">
        <v>179</v>
      </c>
      <c r="C55" s="1194" t="s">
        <v>180</v>
      </c>
      <c r="D55" s="1194" t="s">
        <v>181</v>
      </c>
      <c r="E55" s="2246"/>
      <c r="F55" s="2246"/>
      <c r="G55" s="2246"/>
      <c r="H55" s="2246"/>
      <c r="I55" s="2073"/>
      <c r="J55" s="2073"/>
      <c r="K55" s="2091" t="str">
        <f>J54&amp;".1"</f>
        <v>....1.1.1</v>
      </c>
      <c r="L55" s="77"/>
      <c r="M55" s="1237" t="s">
        <v>411</v>
      </c>
      <c r="Q55" s="2223"/>
      <c r="R55" s="2223"/>
      <c r="S55" s="455">
        <v>1</v>
      </c>
      <c r="T55" s="294"/>
      <c r="U55" s="1263" t="str">
        <f>$K55</f>
        <v>....1.1.1</v>
      </c>
      <c r="V55" s="1274"/>
      <c r="W55" s="237"/>
      <c r="X55" s="688"/>
      <c r="Y55" s="688"/>
      <c r="Z55" s="688"/>
      <c r="AA55" s="688"/>
      <c r="AB55" s="1332"/>
      <c r="AC55" s="2224"/>
      <c r="AD55" s="2102" t="s">
        <v>65</v>
      </c>
      <c r="AE55" s="2224"/>
      <c r="AF55" s="2102" t="s">
        <v>65</v>
      </c>
      <c r="AG55" s="1334"/>
      <c r="AH55" s="688"/>
      <c r="AI55" s="688"/>
      <c r="AJ55" s="688"/>
      <c r="AK55" s="1184"/>
      <c r="AL55" s="2224"/>
      <c r="AM55" s="2102" t="s">
        <v>65</v>
      </c>
      <c r="AN55" s="2224"/>
      <c r="AO55" s="2102" t="s">
        <v>65</v>
      </c>
      <c r="AP55" s="1275"/>
      <c r="AQ55" s="1234" t="s">
        <v>454</v>
      </c>
      <c r="AR55" s="448" t="e">
        <f ca="1">STRCHECKDATE(X57:AP57)</f>
        <v>#NAME?</v>
      </c>
      <c r="AS55" s="437"/>
      <c r="AT55" s="437" t="str">
        <f t="shared" si="2"/>
        <v/>
      </c>
      <c r="AU55" s="437"/>
      <c r="AV55" s="437"/>
      <c r="AW55" s="1082">
        <v>21</v>
      </c>
    </row>
    <row r="56" spans="1:49" ht="11.45" customHeight="1">
      <c r="A56" s="1194" t="s">
        <v>178</v>
      </c>
      <c r="B56" s="1194" t="s">
        <v>179</v>
      </c>
      <c r="C56" s="1194" t="s">
        <v>180</v>
      </c>
      <c r="D56" s="1194" t="s">
        <v>181</v>
      </c>
      <c r="E56" s="2246"/>
      <c r="F56" s="2246"/>
      <c r="G56" s="2246"/>
      <c r="H56" s="2246"/>
      <c r="I56" s="2073"/>
      <c r="J56" s="2073"/>
      <c r="K56" s="2073"/>
      <c r="L56" s="2091" t="str">
        <f>K55&amp;".1"</f>
        <v>....1.1.1.1</v>
      </c>
      <c r="M56" s="1237"/>
      <c r="Q56" s="2223"/>
      <c r="R56" s="2223"/>
      <c r="S56" s="455">
        <v>1</v>
      </c>
      <c r="T56" s="294"/>
      <c r="U56" s="1263" t="str">
        <f>$L56</f>
        <v>....1.1.1.1</v>
      </c>
      <c r="V56" s="1318"/>
      <c r="W56" s="237"/>
      <c r="X56" s="262"/>
      <c r="Y56" s="688"/>
      <c r="Z56" s="688"/>
      <c r="AA56" s="688"/>
      <c r="AB56" s="1332"/>
      <c r="AC56" s="2225"/>
      <c r="AD56" s="2102"/>
      <c r="AE56" s="2225"/>
      <c r="AF56" s="2102"/>
      <c r="AG56" s="1334"/>
      <c r="AH56" s="688"/>
      <c r="AI56" s="688"/>
      <c r="AJ56" s="688"/>
      <c r="AK56" s="1184"/>
      <c r="AL56" s="2225"/>
      <c r="AM56" s="2102"/>
      <c r="AN56" s="2225"/>
      <c r="AO56" s="2102"/>
      <c r="AP56" s="1275"/>
      <c r="AQ56" s="2242" t="s">
        <v>455</v>
      </c>
      <c r="AR56" s="448" t="e">
        <f ca="1">STRCHECKDATE(X58:AP58)</f>
        <v>#NAME?</v>
      </c>
      <c r="AS56" s="437"/>
      <c r="AT56" s="437" t="str">
        <f t="shared" si="2"/>
        <v/>
      </c>
      <c r="AU56" s="437"/>
      <c r="AV56" s="437"/>
      <c r="AW56" s="1082">
        <v>11</v>
      </c>
    </row>
    <row r="57" spans="1:49" ht="0" hidden="1" customHeight="1">
      <c r="A57" s="1194" t="s">
        <v>178</v>
      </c>
      <c r="B57" s="1194" t="s">
        <v>179</v>
      </c>
      <c r="C57" s="1194" t="s">
        <v>180</v>
      </c>
      <c r="D57" s="1194" t="s">
        <v>181</v>
      </c>
      <c r="E57" s="2246"/>
      <c r="F57" s="2246"/>
      <c r="G57" s="2246"/>
      <c r="H57" s="2246"/>
      <c r="I57" s="2073"/>
      <c r="J57" s="2073"/>
      <c r="K57" s="2073"/>
      <c r="L57" s="2091"/>
      <c r="M57" s="1237"/>
      <c r="Q57" s="2223"/>
      <c r="R57" s="2223"/>
      <c r="S57" s="455"/>
      <c r="T57" s="294"/>
      <c r="U57" s="1269"/>
      <c r="V57" s="237"/>
      <c r="W57" s="237"/>
      <c r="X57" s="262"/>
      <c r="Y57" s="262"/>
      <c r="Z57" s="262"/>
      <c r="AA57" s="262"/>
      <c r="AB57" s="1333" t="str">
        <f>AC55&amp;"-"&amp;AE55</f>
        <v>-</v>
      </c>
      <c r="AC57" s="2225"/>
      <c r="AD57" s="2102"/>
      <c r="AE57" s="2225"/>
      <c r="AF57" s="2102"/>
      <c r="AG57" s="1309"/>
      <c r="AH57" s="262"/>
      <c r="AI57" s="262"/>
      <c r="AJ57" s="262"/>
      <c r="AK57" s="265" t="str">
        <f>AL55&amp;"-"&amp;AN55</f>
        <v>-</v>
      </c>
      <c r="AL57" s="2225"/>
      <c r="AM57" s="2102"/>
      <c r="AN57" s="2225"/>
      <c r="AO57" s="2102"/>
      <c r="AP57" s="1276"/>
      <c r="AQ57" s="2243"/>
      <c r="AS57" s="437"/>
      <c r="AT57" s="437" t="str">
        <f t="shared" si="2"/>
        <v/>
      </c>
      <c r="AU57" s="437"/>
      <c r="AV57" s="437"/>
      <c r="AW57" s="1082">
        <v>0</v>
      </c>
    </row>
    <row r="58" spans="1:49" ht="11.45" customHeight="1">
      <c r="A58" s="1194" t="s">
        <v>178</v>
      </c>
      <c r="B58" s="1194" t="s">
        <v>179</v>
      </c>
      <c r="C58" s="1194" t="s">
        <v>180</v>
      </c>
      <c r="D58" s="1194" t="s">
        <v>181</v>
      </c>
      <c r="E58" s="2246"/>
      <c r="F58" s="2246"/>
      <c r="G58" s="2246"/>
      <c r="H58" s="2246"/>
      <c r="I58" s="2073"/>
      <c r="J58" s="2073"/>
      <c r="K58" s="2091"/>
      <c r="L58" s="1194"/>
      <c r="M58" s="1237"/>
      <c r="Q58" s="2223"/>
      <c r="R58" s="2223"/>
      <c r="S58" s="1258"/>
      <c r="T58" s="293"/>
      <c r="U58" s="1205"/>
      <c r="V58" s="225" t="s">
        <v>456</v>
      </c>
      <c r="W58" s="304"/>
      <c r="X58" s="304"/>
      <c r="Y58" s="304"/>
      <c r="Z58" s="304"/>
      <c r="AA58" s="304"/>
      <c r="AB58" s="304"/>
      <c r="AC58" s="2225"/>
      <c r="AD58" s="2102"/>
      <c r="AE58" s="2225"/>
      <c r="AF58" s="2102"/>
      <c r="AG58" s="304"/>
      <c r="AH58" s="304"/>
      <c r="AI58" s="304"/>
      <c r="AJ58" s="304"/>
      <c r="AK58" s="304"/>
      <c r="AL58" s="2225"/>
      <c r="AM58" s="2102"/>
      <c r="AN58" s="2225"/>
      <c r="AO58" s="2102"/>
      <c r="AP58" s="261"/>
      <c r="AQ58" s="2243"/>
      <c r="AS58" s="437"/>
      <c r="AT58" s="437" t="str">
        <f t="shared" si="2"/>
        <v>Добавить наименование поставщика</v>
      </c>
      <c r="AU58" s="437"/>
      <c r="AV58" s="437"/>
      <c r="AW58" s="1082">
        <v>11</v>
      </c>
    </row>
    <row r="59" spans="1:49" ht="11.45" customHeight="1">
      <c r="A59" s="1194" t="s">
        <v>178</v>
      </c>
      <c r="B59" s="1194" t="s">
        <v>179</v>
      </c>
      <c r="C59" s="1194" t="s">
        <v>180</v>
      </c>
      <c r="D59" s="1194" t="s">
        <v>181</v>
      </c>
      <c r="E59" s="2246"/>
      <c r="F59" s="2246"/>
      <c r="G59" s="2246"/>
      <c r="H59" s="2246"/>
      <c r="I59" s="2073"/>
      <c r="J59" s="2091"/>
      <c r="K59" s="1194"/>
      <c r="L59" s="1194"/>
      <c r="M59" s="1237"/>
      <c r="Q59" s="2223"/>
      <c r="R59" s="2223"/>
      <c r="S59" s="1258"/>
      <c r="T59" s="293"/>
      <c r="U59" s="1205"/>
      <c r="V59" s="224" t="s">
        <v>413</v>
      </c>
      <c r="W59" s="304"/>
      <c r="X59" s="304"/>
      <c r="Y59" s="304"/>
      <c r="Z59" s="304"/>
      <c r="AA59" s="304"/>
      <c r="AB59" s="304"/>
      <c r="AC59" s="1335"/>
      <c r="AD59" s="1335"/>
      <c r="AE59" s="1335"/>
      <c r="AF59" s="1335"/>
      <c r="AG59" s="304"/>
      <c r="AH59" s="304"/>
      <c r="AI59" s="304"/>
      <c r="AJ59" s="304"/>
      <c r="AK59" s="304"/>
      <c r="AL59" s="304"/>
      <c r="AM59" s="304"/>
      <c r="AN59" s="304"/>
      <c r="AO59" s="304"/>
      <c r="AP59" s="261"/>
      <c r="AQ59" s="2244"/>
      <c r="AS59" s="437"/>
      <c r="AT59" s="437" t="str">
        <f t="shared" si="2"/>
        <v>Добавить вид теплоносителя (параметры теплоносителя)</v>
      </c>
      <c r="AU59" s="437"/>
      <c r="AV59" s="437"/>
      <c r="AW59" s="1082">
        <v>11</v>
      </c>
    </row>
    <row r="60" spans="1:49" ht="11.45" customHeight="1">
      <c r="A60" s="1194" t="s">
        <v>178</v>
      </c>
      <c r="B60" s="1194" t="s">
        <v>179</v>
      </c>
      <c r="C60" s="1194" t="s">
        <v>180</v>
      </c>
      <c r="D60" s="1194" t="s">
        <v>181</v>
      </c>
      <c r="E60" s="2246"/>
      <c r="F60" s="2246"/>
      <c r="G60" s="2246"/>
      <c r="H60" s="2246"/>
      <c r="I60" s="2091"/>
      <c r="J60" s="1194"/>
      <c r="K60" s="1194"/>
      <c r="L60" s="1194"/>
      <c r="M60" s="1237"/>
      <c r="Q60" s="2223"/>
      <c r="R60" s="1258"/>
      <c r="S60" s="1258"/>
      <c r="T60" s="293"/>
      <c r="U60" s="1205"/>
      <c r="V60" s="302" t="s">
        <v>414</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178</v>
      </c>
      <c r="B61" s="1194" t="s">
        <v>179</v>
      </c>
      <c r="C61" s="1194" t="s">
        <v>180</v>
      </c>
      <c r="D61" s="1194" t="s">
        <v>181</v>
      </c>
      <c r="E61" s="2246"/>
      <c r="F61" s="2246"/>
      <c r="G61" s="2246"/>
      <c r="H61" s="224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178</v>
      </c>
      <c r="B62" s="1302" t="s">
        <v>179</v>
      </c>
      <c r="C62" s="1302" t="s">
        <v>180</v>
      </c>
      <c r="D62" s="1301"/>
      <c r="E62" s="2246"/>
      <c r="F62" s="2246"/>
      <c r="G62" s="2245"/>
      <c r="H62" s="1301"/>
      <c r="I62" s="1301"/>
      <c r="J62" s="1301"/>
      <c r="K62" s="1301"/>
      <c r="L62" s="1301"/>
      <c r="M62" s="1304"/>
      <c r="N62" s="1305"/>
      <c r="O62" s="1305"/>
      <c r="P62" s="288"/>
      <c r="Q62" s="1243"/>
      <c r="R62" s="1244"/>
      <c r="S62" s="1243"/>
      <c r="T62" s="1243"/>
      <c r="U62" s="1249"/>
      <c r="V62" s="1252" t="s">
        <v>416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178</v>
      </c>
      <c r="B63" s="1302" t="s">
        <v>179</v>
      </c>
      <c r="C63" s="1301"/>
      <c r="D63" s="1301"/>
      <c r="E63" s="2246"/>
      <c r="F63" s="2245"/>
      <c r="G63" s="1301"/>
      <c r="H63" s="1301"/>
      <c r="I63" s="1301"/>
      <c r="J63" s="1301"/>
      <c r="K63" s="1301"/>
      <c r="L63" s="1301"/>
      <c r="M63" s="1304"/>
      <c r="N63" s="1306"/>
      <c r="O63" s="1306"/>
      <c r="P63" s="288"/>
      <c r="Q63" s="1243"/>
      <c r="R63" s="1244"/>
      <c r="S63" s="1243"/>
      <c r="T63" s="1243"/>
      <c r="U63" s="1249"/>
      <c r="V63" s="1252" t="s">
        <v>417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178</v>
      </c>
      <c r="B64" s="1302"/>
      <c r="C64" s="1302"/>
      <c r="D64" s="1302"/>
      <c r="E64" s="2245"/>
      <c r="F64" s="1302"/>
      <c r="G64" s="1302"/>
      <c r="H64" s="1302"/>
      <c r="I64" s="1302"/>
      <c r="J64" s="1302"/>
      <c r="K64" s="1302"/>
      <c r="L64" s="1302"/>
      <c r="M64" s="1308"/>
      <c r="N64" s="1306"/>
      <c r="O64" s="1306"/>
      <c r="P64" s="288"/>
      <c r="Q64" s="317"/>
      <c r="R64" s="1271"/>
      <c r="S64" s="317"/>
      <c r="T64" s="317"/>
      <c r="U64" s="1249"/>
      <c r="V64" s="1252" t="s">
        <v>418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450</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W67" s="1082">
        <v>34</v>
      </c>
    </row>
    <row r="68" spans="1:49" ht="21" customHeight="1">
      <c r="P68" s="446"/>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W68" s="1082">
        <v>20</v>
      </c>
    </row>
    <row r="69" spans="1:49" ht="14.65" customHeight="1">
      <c r="P69" s="446"/>
      <c r="AW69" s="1082">
        <v>14</v>
      </c>
    </row>
    <row r="70" spans="1:49" ht="28.5" customHeight="1">
      <c r="P70" s="446"/>
      <c r="V70" s="2218"/>
      <c r="W70" s="2218"/>
      <c r="X70" s="2218"/>
      <c r="Y70" s="2218"/>
      <c r="Z70" s="2218"/>
      <c r="AA70" s="2218"/>
      <c r="AB70" s="2218"/>
      <c r="AC70" s="2218"/>
      <c r="AD70" s="2218"/>
      <c r="AE70" s="2218"/>
      <c r="AF70" s="2218"/>
      <c r="AG70" s="2218"/>
      <c r="AH70" s="2218"/>
      <c r="AI70" s="2218"/>
      <c r="AJ70" s="2218"/>
      <c r="AK70" s="2218"/>
      <c r="AL70" s="2218"/>
      <c r="AM70" s="2218"/>
      <c r="AN70" s="2218"/>
      <c r="AO70" s="2218"/>
      <c r="AP70" s="2218"/>
      <c r="AQ70" s="2218"/>
      <c r="AW70" s="1082">
        <v>27</v>
      </c>
    </row>
    <row r="71" spans="1:49" ht="18.75" customHeight="1">
      <c r="P71" s="446"/>
      <c r="V71" s="2218"/>
      <c r="W71" s="2218"/>
      <c r="X71" s="2218"/>
      <c r="Y71" s="2218"/>
      <c r="Z71" s="2218"/>
      <c r="AA71" s="2218"/>
      <c r="AB71" s="2218"/>
      <c r="AC71" s="2218"/>
      <c r="AD71" s="2218"/>
      <c r="AE71" s="2218"/>
      <c r="AF71" s="2218"/>
      <c r="AG71" s="2218"/>
      <c r="AH71" s="2218"/>
      <c r="AI71" s="2218"/>
      <c r="AJ71" s="2218"/>
      <c r="AK71" s="2218"/>
      <c r="AL71" s="2218"/>
      <c r="AM71" s="2218"/>
      <c r="AN71" s="2218"/>
      <c r="AO71" s="2218"/>
      <c r="AP71" s="2218"/>
      <c r="AQ71" s="2218"/>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9" sqref="I39"/>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72"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73"/>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75" t="s">
        <v>20</v>
      </c>
      <c r="D11" s="14"/>
      <c r="E11" s="1092" t="s">
        <v>21</v>
      </c>
      <c r="F11" s="1659" t="s">
        <v>22</v>
      </c>
      <c r="G11" s="16"/>
      <c r="H11" s="705" t="s">
        <v>23</v>
      </c>
      <c r="J11" s="807" t="s">
        <v>24</v>
      </c>
      <c r="Q11" s="13">
        <v>0</v>
      </c>
    </row>
    <row r="12" spans="1:17" ht="22.5" hidden="1" customHeight="1">
      <c r="A12" s="2075"/>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74"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74"/>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35"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4803149606299213" right="0.74803149606299213" top="0.19685039370078741" bottom="0.19685039370078741" header="0.51181102362204722" footer="0.51181102362204722"/>
  <pageSetup paperSize="9" orientation="landscape"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19">
        <v>1</v>
      </c>
      <c r="F2" s="1290"/>
      <c r="G2" s="1290"/>
      <c r="H2" s="1290"/>
      <c r="I2" s="1290"/>
      <c r="J2" s="1290"/>
      <c r="K2" s="1290"/>
      <c r="L2" s="1291"/>
      <c r="M2" s="1292"/>
      <c r="N2" s="1292"/>
      <c r="O2" s="1292"/>
      <c r="P2" s="1336"/>
      <c r="Q2" s="804"/>
      <c r="R2" s="292"/>
      <c r="S2" s="1263" t="e">
        <f>INDEX(PT_DIFFERENTIATION_NUM_NTAR,MATCH(A2,PT_DIFFERENTIATION_NTAR_ID,0))</f>
        <v>#N/A</v>
      </c>
      <c r="T2" s="235" t="s">
        <v>127</v>
      </c>
      <c r="U2" s="237"/>
      <c r="V2" s="2214"/>
      <c r="W2" s="2214"/>
      <c r="X2" s="2214"/>
      <c r="Y2" s="2214"/>
      <c r="Z2" s="2214"/>
      <c r="AA2" s="2215"/>
      <c r="AB2" s="2213" t="e">
        <f>INDEX(PT_DIFFERENTIATION_NTAR,MATCH(A2,PT_DIFFERENTIATION_NTAR_ID,0))</f>
        <v>#N/A</v>
      </c>
      <c r="AC2" s="2214"/>
      <c r="AD2" s="2214"/>
      <c r="AE2" s="2214"/>
      <c r="AF2" s="2214"/>
      <c r="AG2" s="2214"/>
      <c r="AH2" s="2214"/>
      <c r="AI2" s="2214"/>
      <c r="AJ2" s="2214"/>
      <c r="AK2" s="2214"/>
      <c r="AL2" s="2214"/>
      <c r="AM2" s="2214"/>
      <c r="AN2" s="2214"/>
      <c r="AO2" s="2214"/>
      <c r="AP2" s="2214"/>
      <c r="AQ2" s="2214"/>
      <c r="AR2" s="2214"/>
      <c r="AS2" s="2214"/>
      <c r="AT2" s="2215"/>
      <c r="AU2" s="1185" t="s">
        <v>398</v>
      </c>
      <c r="AW2" s="437"/>
      <c r="AX2" s="437" t="str">
        <f t="shared" ref="AX2:AX8" si="0">IF(T2="","",T2)</f>
        <v>Наименование тарифа</v>
      </c>
      <c r="AY2" s="437"/>
      <c r="AZ2" s="437"/>
      <c r="BA2" s="1082">
        <v>0</v>
      </c>
    </row>
    <row r="3" spans="1:53" ht="21" hidden="1" customHeight="1">
      <c r="A3" s="1290"/>
      <c r="B3" s="1290"/>
      <c r="C3" s="1290"/>
      <c r="D3" s="1290"/>
      <c r="E3" s="2220"/>
      <c r="F3" s="2219">
        <v>1</v>
      </c>
      <c r="G3" s="1290"/>
      <c r="H3" s="1290"/>
      <c r="I3" s="1290"/>
      <c r="J3" s="1290"/>
      <c r="K3" s="1290"/>
      <c r="L3" s="1291"/>
      <c r="M3" s="1292"/>
      <c r="N3" s="1292"/>
      <c r="O3" s="1292"/>
      <c r="P3" s="1337"/>
      <c r="Q3" s="1338"/>
      <c r="R3" s="290"/>
      <c r="S3" s="1263" t="e">
        <f>INDEX(PT_DIFFERENTIATION_NUM_TER,MATCH(B3,PT_DIFFERENTIATION_TER_ID,0))</f>
        <v>#N/A</v>
      </c>
      <c r="T3" s="245" t="s">
        <v>399</v>
      </c>
      <c r="U3" s="237"/>
      <c r="V3" s="2214"/>
      <c r="W3" s="2214"/>
      <c r="X3" s="2214"/>
      <c r="Y3" s="2214"/>
      <c r="Z3" s="2214"/>
      <c r="AA3" s="2215"/>
      <c r="AB3" s="2213" t="e">
        <f>INDEX(PT_DIFFERENTIATION_TER,MATCH(B3,PT_DIFFERENTIATION_TER_ID,0))</f>
        <v>#N/A</v>
      </c>
      <c r="AC3" s="2214"/>
      <c r="AD3" s="2214"/>
      <c r="AE3" s="2214"/>
      <c r="AF3" s="2214"/>
      <c r="AG3" s="2214"/>
      <c r="AH3" s="2214"/>
      <c r="AI3" s="2214"/>
      <c r="AJ3" s="2214"/>
      <c r="AK3" s="2214"/>
      <c r="AL3" s="2214"/>
      <c r="AM3" s="2214"/>
      <c r="AN3" s="2214"/>
      <c r="AO3" s="2214"/>
      <c r="AP3" s="2214"/>
      <c r="AQ3" s="2214"/>
      <c r="AR3" s="2214"/>
      <c r="AS3" s="2214"/>
      <c r="AT3" s="2215"/>
      <c r="AU3" s="1185" t="s">
        <v>400</v>
      </c>
      <c r="AW3" s="437"/>
      <c r="AX3" s="437" t="str">
        <f t="shared" si="0"/>
        <v>Территория действия тарифа</v>
      </c>
      <c r="AY3" s="437"/>
      <c r="AZ3" s="437"/>
      <c r="BA3" s="1082">
        <v>0</v>
      </c>
    </row>
    <row r="4" spans="1:53" ht="22.5" hidden="1" customHeight="1">
      <c r="A4" s="1290"/>
      <c r="B4" s="1290"/>
      <c r="C4" s="1290"/>
      <c r="D4" s="1290"/>
      <c r="E4" s="2220"/>
      <c r="F4" s="2220"/>
      <c r="G4" s="2219">
        <v>1</v>
      </c>
      <c r="H4" s="1290"/>
      <c r="I4" s="1290"/>
      <c r="J4" s="1290"/>
      <c r="K4" s="1290"/>
      <c r="L4" s="1291"/>
      <c r="M4" s="1292"/>
      <c r="N4" s="1292"/>
      <c r="O4" s="1292"/>
      <c r="P4" s="1339"/>
      <c r="Q4" s="1338"/>
      <c r="R4" s="290"/>
      <c r="S4" s="1263" t="e">
        <f>INDEX(PT_DIFFERENTIATION_NUM_CS,MATCH(C4,PT_DIFFERENTIATION_CS_ID,0))</f>
        <v>#N/A</v>
      </c>
      <c r="T4" s="246" t="s">
        <v>401</v>
      </c>
      <c r="U4" s="237"/>
      <c r="V4" s="2214"/>
      <c r="W4" s="2214"/>
      <c r="X4" s="2214"/>
      <c r="Y4" s="2214"/>
      <c r="Z4" s="2214"/>
      <c r="AA4" s="2215"/>
      <c r="AB4" s="2213" t="e">
        <f>INDEX(PT_DIFFERENTIATION_CS,MATCH(C4,PT_DIFFERENTIATION_CS_ID,0))</f>
        <v>#N/A</v>
      </c>
      <c r="AC4" s="2214"/>
      <c r="AD4" s="2214"/>
      <c r="AE4" s="2214"/>
      <c r="AF4" s="2214"/>
      <c r="AG4" s="2214"/>
      <c r="AH4" s="2214"/>
      <c r="AI4" s="2214"/>
      <c r="AJ4" s="2214"/>
      <c r="AK4" s="2214"/>
      <c r="AL4" s="2214"/>
      <c r="AM4" s="2214"/>
      <c r="AN4" s="2214"/>
      <c r="AO4" s="2214"/>
      <c r="AP4" s="2214"/>
      <c r="AQ4" s="2214"/>
      <c r="AR4" s="2214"/>
      <c r="AS4" s="2214"/>
      <c r="AT4" s="2215"/>
      <c r="AU4" s="1185" t="s">
        <v>402</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20"/>
      <c r="F5" s="2220"/>
      <c r="G5" s="2220"/>
      <c r="H5" s="2219">
        <v>1</v>
      </c>
      <c r="I5" s="1290"/>
      <c r="J5" s="1290"/>
      <c r="K5" s="1290"/>
      <c r="L5" s="1291"/>
      <c r="M5" s="1292"/>
      <c r="N5" s="1292"/>
      <c r="O5" s="1292"/>
      <c r="P5" s="1339"/>
      <c r="Q5" s="1338"/>
      <c r="R5" s="290"/>
      <c r="S5" s="1263" t="e">
        <f>INDEX(PT_DIFFERENTIATION_NUM_IST_TE,MATCH(D5,PT_DIFFERENTIATION_IST_TE_ID,0))</f>
        <v>#N/A</v>
      </c>
      <c r="T5" s="247" t="s">
        <v>403</v>
      </c>
      <c r="U5" s="237"/>
      <c r="V5" s="2214"/>
      <c r="W5" s="2214"/>
      <c r="X5" s="2214"/>
      <c r="Y5" s="2214"/>
      <c r="Z5" s="2214"/>
      <c r="AA5" s="2215"/>
      <c r="AB5" s="2213" t="e">
        <f>INDEX(PT_DIFFERENTIATION_IST_TE,MATCH(D5,PT_DIFFERENTIATION_IST_TE_ID,0))</f>
        <v>#N/A</v>
      </c>
      <c r="AC5" s="2214"/>
      <c r="AD5" s="2214"/>
      <c r="AE5" s="2214"/>
      <c r="AF5" s="2214"/>
      <c r="AG5" s="2214"/>
      <c r="AH5" s="2214"/>
      <c r="AI5" s="2214"/>
      <c r="AJ5" s="2214"/>
      <c r="AK5" s="2214"/>
      <c r="AL5" s="2214"/>
      <c r="AM5" s="2214"/>
      <c r="AN5" s="2214"/>
      <c r="AO5" s="2214"/>
      <c r="AP5" s="2214"/>
      <c r="AQ5" s="2214"/>
      <c r="AR5" s="2214"/>
      <c r="AS5" s="2214"/>
      <c r="AT5" s="2215"/>
      <c r="AU5" s="1185" t="s">
        <v>404</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20"/>
      <c r="F6" s="2220"/>
      <c r="G6" s="2220"/>
      <c r="H6" s="2220"/>
      <c r="I6" s="2221" t="e">
        <f>S5&amp;".1"</f>
        <v>#N/A</v>
      </c>
      <c r="J6" s="1270"/>
      <c r="K6" s="1270"/>
      <c r="L6" s="1273" t="s">
        <v>405</v>
      </c>
      <c r="M6" s="447"/>
      <c r="N6" s="447"/>
      <c r="O6" s="447"/>
      <c r="P6" s="2223">
        <v>1</v>
      </c>
      <c r="Q6" s="1258"/>
      <c r="R6" s="293"/>
      <c r="S6" s="972"/>
      <c r="T6" s="1310"/>
      <c r="U6" s="1311"/>
      <c r="V6" s="2251"/>
      <c r="W6" s="2251"/>
      <c r="X6" s="2251"/>
      <c r="Y6" s="2251"/>
      <c r="Z6" s="2251"/>
      <c r="AA6" s="2252"/>
      <c r="AB6" s="2250"/>
      <c r="AC6" s="2251"/>
      <c r="AD6" s="2251"/>
      <c r="AE6" s="2251"/>
      <c r="AF6" s="2251"/>
      <c r="AG6" s="2251"/>
      <c r="AH6" s="2251"/>
      <c r="AI6" s="2251"/>
      <c r="AJ6" s="2251"/>
      <c r="AK6" s="2251"/>
      <c r="AL6" s="2251"/>
      <c r="AM6" s="2251"/>
      <c r="AN6" s="2251"/>
      <c r="AO6" s="2251"/>
      <c r="AP6" s="2251"/>
      <c r="AQ6" s="2251"/>
      <c r="AR6" s="2251"/>
      <c r="AS6" s="2251"/>
      <c r="AT6" s="2252"/>
      <c r="AU6" s="1312"/>
      <c r="AW6" s="437"/>
      <c r="AX6" s="437" t="str">
        <f t="shared" si="0"/>
        <v/>
      </c>
      <c r="AY6" s="437"/>
      <c r="AZ6" s="437"/>
      <c r="BA6" s="448">
        <v>0</v>
      </c>
    </row>
    <row r="7" spans="1:53" s="1569" customFormat="1" ht="0.75" hidden="1" customHeight="1">
      <c r="A7" s="1270"/>
      <c r="B7" s="1270"/>
      <c r="C7" s="1270"/>
      <c r="D7" s="1270"/>
      <c r="E7" s="2220"/>
      <c r="F7" s="2220"/>
      <c r="G7" s="2220"/>
      <c r="H7" s="2220"/>
      <c r="I7" s="2222"/>
      <c r="J7" s="2221" t="e">
        <f>S5&amp;".1"</f>
        <v>#N/A</v>
      </c>
      <c r="K7" s="1270"/>
      <c r="L7" s="1273"/>
      <c r="M7" s="447"/>
      <c r="N7" s="447"/>
      <c r="O7" s="447"/>
      <c r="P7" s="2223"/>
      <c r="Q7" s="2223">
        <v>1</v>
      </c>
      <c r="R7" s="294"/>
      <c r="S7" s="972"/>
      <c r="T7" s="1326"/>
      <c r="U7" s="1311"/>
      <c r="V7" s="2251"/>
      <c r="W7" s="2251"/>
      <c r="X7" s="2251"/>
      <c r="Y7" s="2251"/>
      <c r="Z7" s="2251"/>
      <c r="AA7" s="2252"/>
      <c r="AB7" s="2250"/>
      <c r="AC7" s="2251"/>
      <c r="AD7" s="2251"/>
      <c r="AE7" s="2251"/>
      <c r="AF7" s="2251"/>
      <c r="AG7" s="2251"/>
      <c r="AH7" s="2251"/>
      <c r="AI7" s="2251"/>
      <c r="AJ7" s="2251"/>
      <c r="AK7" s="2251"/>
      <c r="AL7" s="2251"/>
      <c r="AM7" s="2251"/>
      <c r="AN7" s="2251"/>
      <c r="AO7" s="2251"/>
      <c r="AP7" s="2251"/>
      <c r="AQ7" s="2251"/>
      <c r="AR7" s="2251"/>
      <c r="AS7" s="2251"/>
      <c r="AT7" s="2252"/>
      <c r="AU7" s="1312"/>
      <c r="AW7" s="437"/>
      <c r="AX7" s="437" t="str">
        <f t="shared" si="0"/>
        <v/>
      </c>
      <c r="AY7" s="437"/>
      <c r="AZ7" s="437"/>
      <c r="BA7" s="448">
        <v>0</v>
      </c>
    </row>
    <row r="8" spans="1:53" ht="21" hidden="1" customHeight="1">
      <c r="A8" s="1290"/>
      <c r="B8" s="1290"/>
      <c r="C8" s="1290"/>
      <c r="D8" s="1290"/>
      <c r="E8" s="2220"/>
      <c r="F8" s="2220"/>
      <c r="G8" s="2220"/>
      <c r="H8" s="2220"/>
      <c r="I8" s="2222"/>
      <c r="J8" s="2222"/>
      <c r="K8" s="2221" t="e">
        <f>S5&amp;".1"</f>
        <v>#N/A</v>
      </c>
      <c r="L8" s="1291"/>
      <c r="P8" s="2223"/>
      <c r="Q8" s="2223"/>
      <c r="R8" s="2279">
        <v>1</v>
      </c>
      <c r="S8" s="2276" t="e">
        <f>$K8</f>
        <v>#N/A</v>
      </c>
      <c r="T8" s="2273"/>
      <c r="U8" s="237"/>
      <c r="V8" s="688"/>
      <c r="W8" s="1184"/>
      <c r="X8" s="2224"/>
      <c r="Y8" s="2102" t="s">
        <v>65</v>
      </c>
      <c r="Z8" s="2224"/>
      <c r="AA8" s="2102" t="s">
        <v>65</v>
      </c>
      <c r="AB8" s="2102" t="s">
        <v>19</v>
      </c>
      <c r="AC8" s="2272"/>
      <c r="AD8" s="2176">
        <v>1</v>
      </c>
      <c r="AE8" s="2286"/>
      <c r="AF8" s="2102" t="s">
        <v>19</v>
      </c>
      <c r="AG8" s="2272"/>
      <c r="AH8" s="2176">
        <v>1</v>
      </c>
      <c r="AI8" s="2286"/>
      <c r="AJ8" s="2102" t="s">
        <v>19</v>
      </c>
      <c r="AK8" s="248"/>
      <c r="AL8" s="1264">
        <v>1</v>
      </c>
      <c r="AM8" s="1325"/>
      <c r="AN8" s="688"/>
      <c r="AO8" s="1184"/>
      <c r="AP8" s="1661"/>
      <c r="AQ8" s="1386" t="s">
        <v>65</v>
      </c>
      <c r="AR8" s="1661"/>
      <c r="AS8" s="1386" t="s">
        <v>65</v>
      </c>
      <c r="AT8" s="1275"/>
      <c r="AU8" s="2242" t="s">
        <v>466</v>
      </c>
      <c r="AV8" s="448" t="e">
        <f ca="1">STRCHECKDATE(V11:AT11)</f>
        <v>#NAME?</v>
      </c>
      <c r="AW8" s="437"/>
      <c r="AX8" s="437" t="str">
        <f t="shared" si="0"/>
        <v/>
      </c>
      <c r="AY8" s="437"/>
      <c r="AZ8" s="437"/>
      <c r="BA8" s="1082">
        <v>0</v>
      </c>
    </row>
    <row r="9" spans="1:53" ht="11.25" hidden="1" customHeight="1">
      <c r="A9" s="1290"/>
      <c r="B9" s="1290"/>
      <c r="C9" s="1290"/>
      <c r="D9" s="1290"/>
      <c r="E9" s="2220"/>
      <c r="F9" s="2220"/>
      <c r="G9" s="2220"/>
      <c r="H9" s="2220"/>
      <c r="I9" s="2222"/>
      <c r="J9" s="2222"/>
      <c r="K9" s="2221"/>
      <c r="L9" s="1291"/>
      <c r="P9" s="2223"/>
      <c r="Q9" s="2223"/>
      <c r="R9" s="2279"/>
      <c r="S9" s="2277"/>
      <c r="T9" s="2274"/>
      <c r="U9" s="237"/>
      <c r="V9" s="1320"/>
      <c r="W9" s="1324"/>
      <c r="X9" s="2224"/>
      <c r="Y9" s="2102"/>
      <c r="Z9" s="2224"/>
      <c r="AA9" s="2102"/>
      <c r="AB9" s="2102"/>
      <c r="AC9" s="2272"/>
      <c r="AD9" s="2176"/>
      <c r="AE9" s="2286"/>
      <c r="AF9" s="2102"/>
      <c r="AG9" s="2272"/>
      <c r="AH9" s="2176"/>
      <c r="AI9" s="2286"/>
      <c r="AJ9" s="2102"/>
      <c r="AK9" s="253"/>
      <c r="AL9" s="353"/>
      <c r="AM9" s="352" t="s">
        <v>467</v>
      </c>
      <c r="AN9" s="1320"/>
      <c r="AO9" s="1423"/>
      <c r="AP9" s="1320"/>
      <c r="AQ9" s="1320"/>
      <c r="AR9" s="1320"/>
      <c r="AS9" s="1320"/>
      <c r="AT9" s="1317"/>
      <c r="AU9" s="2243"/>
      <c r="AW9" s="437"/>
      <c r="AX9" s="437"/>
      <c r="AY9" s="437"/>
      <c r="AZ9" s="437"/>
      <c r="BA9" s="1082">
        <v>0</v>
      </c>
    </row>
    <row r="10" spans="1:53" ht="11.25" hidden="1" customHeight="1">
      <c r="A10" s="1290"/>
      <c r="B10" s="1290"/>
      <c r="C10" s="1290"/>
      <c r="D10" s="1290"/>
      <c r="E10" s="2220"/>
      <c r="F10" s="2220"/>
      <c r="G10" s="2220"/>
      <c r="H10" s="2220"/>
      <c r="I10" s="2222"/>
      <c r="J10" s="2222"/>
      <c r="K10" s="2221"/>
      <c r="L10" s="1291"/>
      <c r="P10" s="2223"/>
      <c r="Q10" s="2223"/>
      <c r="R10" s="2279"/>
      <c r="S10" s="2277"/>
      <c r="T10" s="2274"/>
      <c r="U10" s="237"/>
      <c r="V10" s="1320"/>
      <c r="W10" s="1324"/>
      <c r="X10" s="2224"/>
      <c r="Y10" s="2102"/>
      <c r="Z10" s="2224"/>
      <c r="AA10" s="2102"/>
      <c r="AB10" s="2102"/>
      <c r="AC10" s="2272"/>
      <c r="AD10" s="2176"/>
      <c r="AE10" s="2286"/>
      <c r="AF10" s="2102"/>
      <c r="AG10" s="231"/>
      <c r="AH10" s="352"/>
      <c r="AI10" s="352" t="s">
        <v>468</v>
      </c>
      <c r="AJ10" s="1320"/>
      <c r="AK10" s="1320"/>
      <c r="AL10" s="1320"/>
      <c r="AM10" s="1320"/>
      <c r="AN10" s="1320"/>
      <c r="AO10" s="1423"/>
      <c r="AP10" s="1320"/>
      <c r="AQ10" s="1320"/>
      <c r="AR10" s="1320"/>
      <c r="AS10" s="1320"/>
      <c r="AT10" s="1317"/>
      <c r="AU10" s="2243"/>
      <c r="AW10" s="437"/>
      <c r="AX10" s="437"/>
      <c r="AY10" s="437"/>
      <c r="AZ10" s="437"/>
      <c r="BA10" s="1082">
        <v>0</v>
      </c>
    </row>
    <row r="11" spans="1:53" ht="11.25" hidden="1" customHeight="1">
      <c r="A11" s="1290"/>
      <c r="B11" s="1290"/>
      <c r="C11" s="1290"/>
      <c r="D11" s="1290"/>
      <c r="E11" s="2220"/>
      <c r="F11" s="2220"/>
      <c r="G11" s="2220"/>
      <c r="H11" s="2220"/>
      <c r="I11" s="2222"/>
      <c r="J11" s="2222"/>
      <c r="K11" s="2221"/>
      <c r="L11" s="1291"/>
      <c r="P11" s="2223"/>
      <c r="Q11" s="2223"/>
      <c r="R11" s="2279"/>
      <c r="S11" s="2278"/>
      <c r="T11" s="2275"/>
      <c r="U11" s="237"/>
      <c r="V11" s="1320"/>
      <c r="W11" s="1323" t="str">
        <f>X8&amp;"-"&amp;Z8</f>
        <v>-</v>
      </c>
      <c r="X11" s="2225"/>
      <c r="Y11" s="2102"/>
      <c r="Z11" s="2225"/>
      <c r="AA11" s="2102"/>
      <c r="AB11" s="2102"/>
      <c r="AC11" s="249"/>
      <c r="AD11" s="251"/>
      <c r="AE11" s="352" t="s">
        <v>469</v>
      </c>
      <c r="AF11" s="1320"/>
      <c r="AG11" s="1320"/>
      <c r="AH11" s="1320"/>
      <c r="AI11" s="1320"/>
      <c r="AJ11" s="1320"/>
      <c r="AK11" s="1320"/>
      <c r="AL11" s="1320"/>
      <c r="AM11" s="1320"/>
      <c r="AN11" s="1320"/>
      <c r="AO11" s="1321" t="str">
        <f>AP8&amp;"-"&amp;AR8</f>
        <v>-</v>
      </c>
      <c r="AP11" s="1320"/>
      <c r="AQ11" s="1320"/>
      <c r="AR11" s="1320"/>
      <c r="AS11" s="1320"/>
      <c r="AT11" s="1276"/>
      <c r="AU11" s="2243"/>
      <c r="AW11" s="437"/>
      <c r="AX11" s="437" t="str">
        <f t="shared" ref="AX11:AX17" si="1">IF(T11="","",T11)</f>
        <v/>
      </c>
      <c r="AY11" s="437"/>
      <c r="AZ11" s="437"/>
      <c r="BA11" s="1082">
        <v>0</v>
      </c>
    </row>
    <row r="12" spans="1:53" ht="11.25" hidden="1" customHeight="1">
      <c r="A12" s="1290"/>
      <c r="B12" s="1290"/>
      <c r="C12" s="1290"/>
      <c r="D12" s="1290"/>
      <c r="E12" s="2220"/>
      <c r="F12" s="2220"/>
      <c r="G12" s="2220"/>
      <c r="H12" s="2220"/>
      <c r="I12" s="2222"/>
      <c r="J12" s="2221"/>
      <c r="K12" s="1290"/>
      <c r="L12" s="1291"/>
      <c r="P12" s="2223"/>
      <c r="Q12" s="2223"/>
      <c r="R12" s="293"/>
      <c r="S12" s="1205"/>
      <c r="T12" s="224"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44"/>
      <c r="AW12" s="437"/>
      <c r="AX12" s="437" t="str">
        <f t="shared" si="1"/>
        <v>Добавить строку</v>
      </c>
      <c r="AY12" s="437"/>
      <c r="AZ12" s="437"/>
      <c r="BA12" s="1082">
        <v>0</v>
      </c>
    </row>
    <row r="13" spans="1:53" s="1569" customFormat="1" ht="0.75" hidden="1" customHeight="1">
      <c r="A13" s="1270"/>
      <c r="B13" s="1270"/>
      <c r="C13" s="1270"/>
      <c r="D13" s="1270"/>
      <c r="E13" s="2220"/>
      <c r="F13" s="2220"/>
      <c r="G13" s="2220"/>
      <c r="H13" s="2220"/>
      <c r="I13" s="2221"/>
      <c r="J13" s="1270"/>
      <c r="K13" s="1270"/>
      <c r="L13" s="1273"/>
      <c r="M13" s="447"/>
      <c r="N13" s="447"/>
      <c r="O13" s="447"/>
      <c r="P13" s="222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20"/>
      <c r="F14" s="2220"/>
      <c r="G14" s="2220"/>
      <c r="H14" s="221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20"/>
      <c r="F15" s="2220"/>
      <c r="G15" s="2219"/>
      <c r="H15" s="1241"/>
      <c r="I15" s="1241"/>
      <c r="J15" s="1241"/>
      <c r="K15" s="1241"/>
      <c r="L15" s="1266"/>
      <c r="M15" s="1242"/>
      <c r="N15" s="1242"/>
      <c r="P15" s="1243"/>
      <c r="Q15" s="1244"/>
      <c r="R15" s="1243"/>
      <c r="S15" s="1249"/>
      <c r="T15" s="1252" t="s">
        <v>416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20"/>
      <c r="F16" s="2219"/>
      <c r="G16" s="1241"/>
      <c r="H16" s="1241"/>
      <c r="I16" s="1241"/>
      <c r="J16" s="1241"/>
      <c r="K16" s="1241"/>
      <c r="L16" s="1266"/>
      <c r="M16" s="1248"/>
      <c r="N16" s="1248"/>
      <c r="P16" s="1243"/>
      <c r="Q16" s="1244"/>
      <c r="R16" s="1243"/>
      <c r="S16" s="1249"/>
      <c r="T16" s="1252" t="s">
        <v>417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19"/>
      <c r="F17" s="1270"/>
      <c r="G17" s="1270"/>
      <c r="H17" s="1270"/>
      <c r="I17" s="1270"/>
      <c r="J17" s="1270"/>
      <c r="K17" s="1270"/>
      <c r="L17" s="1273"/>
      <c r="M17" s="1248"/>
      <c r="N17" s="1248"/>
      <c r="O17" s="455"/>
      <c r="P17" s="317"/>
      <c r="Q17" s="1271"/>
      <c r="R17" s="317"/>
      <c r="S17" s="1249"/>
      <c r="T17" s="1252" t="s">
        <v>418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419</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471</v>
      </c>
      <c r="AE23" s="1434" t="s">
        <v>472</v>
      </c>
      <c r="AF23" s="1434" t="s">
        <v>471</v>
      </c>
      <c r="AI23" s="1434" t="s">
        <v>473</v>
      </c>
      <c r="AJ23" s="1434" t="s">
        <v>471</v>
      </c>
      <c r="AM23" s="1434" t="s">
        <v>474</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0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c r="AS27" s="1170"/>
      <c r="BA27" s="1082">
        <v>26</v>
      </c>
    </row>
    <row r="28" spans="1:53" ht="14.65" customHeight="1">
      <c r="Q28" s="228"/>
      <c r="R28" s="313"/>
      <c r="S28" s="2172" t="str">
        <f>IF(org=0,"Не определено",org)</f>
        <v>МУП "Михайловское водопроводно-канализационное хозяйство"</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210" t="s">
        <v>42</v>
      </c>
      <c r="T30" s="2210"/>
      <c r="U30" s="1299"/>
      <c r="V30" s="2212" t="str">
        <f>IF(TITLE_NAME_OR_PR_CHANGE="",IF(TITLE_NAME_OR_PR="","",TITLE_NAME_OR_PR),TITLE_NAME_OR_PR_CHANGE)</f>
        <v/>
      </c>
      <c r="W30" s="2212"/>
      <c r="X30" s="2212"/>
      <c r="Y30" s="2212"/>
      <c r="Z30" s="2212"/>
      <c r="AA30" s="263"/>
      <c r="AB30" s="2212" t="str">
        <f>IF(TITLE_NAME_OR_PR_CHANGE="",IF(TITLE_NAME_OR_PR="","",TITLE_NAME_OR_PR),TITLE_NAME_OR_PR_CHANGE)</f>
        <v/>
      </c>
      <c r="AC30" s="2212"/>
      <c r="AD30" s="2212"/>
      <c r="AE30" s="2212"/>
      <c r="AF30" s="2212"/>
      <c r="AG30" s="2212"/>
      <c r="AH30" s="2212"/>
      <c r="AI30" s="2212"/>
      <c r="AJ30" s="2212"/>
      <c r="AK30" s="2212"/>
      <c r="AL30" s="2212"/>
      <c r="AM30" s="2212"/>
      <c r="AN30" s="2212"/>
      <c r="AO30" s="2212"/>
      <c r="AP30" s="2212"/>
      <c r="AQ30" s="2212"/>
      <c r="AR30" s="2212"/>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210" t="s">
        <v>425</v>
      </c>
      <c r="T31" s="2210"/>
      <c r="U31" s="1299"/>
      <c r="V31" s="2211" t="str">
        <f>IF(TITLE_DATE_PR_CHANGE="",IF(TITLE_DATE_PR="","",TITLE_DATE_PR),TITLE_DATE_PR_CHANGE)</f>
        <v/>
      </c>
      <c r="W31" s="2211"/>
      <c r="X31" s="2211"/>
      <c r="Y31" s="2211"/>
      <c r="Z31" s="2211"/>
      <c r="AA31" s="263"/>
      <c r="AB31" s="2211" t="str">
        <f>IF(TITLE_DATE_PR_CHANGE="",IF(TITLE_DATE_PR="","",TITLE_DATE_PR),TITLE_DATE_PR_CHANGE)</f>
        <v/>
      </c>
      <c r="AC31" s="2211"/>
      <c r="AD31" s="2211"/>
      <c r="AE31" s="2211"/>
      <c r="AF31" s="2211"/>
      <c r="AG31" s="2211"/>
      <c r="AH31" s="2211"/>
      <c r="AI31" s="2211"/>
      <c r="AJ31" s="2211"/>
      <c r="AK31" s="2211"/>
      <c r="AL31" s="2211"/>
      <c r="AM31" s="2211"/>
      <c r="AN31" s="2211"/>
      <c r="AO31" s="2211"/>
      <c r="AP31" s="2211"/>
      <c r="AQ31" s="2211"/>
      <c r="AR31" s="2211"/>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10" t="s">
        <v>426</v>
      </c>
      <c r="T32" s="2210"/>
      <c r="U32" s="1299"/>
      <c r="V32" s="2212" t="str">
        <f>IF(TITLE_NUMBER_PR_CHANGE="",IF(TITLE_NUMBER_PR="","",TITLE_NUMBER_PR),TITLE_NUMBER_PR_CHANGE)</f>
        <v/>
      </c>
      <c r="W32" s="2212"/>
      <c r="X32" s="2212"/>
      <c r="Y32" s="2212"/>
      <c r="Z32" s="2212"/>
      <c r="AA32" s="263"/>
      <c r="AB32" s="2212" t="str">
        <f>IF(TITLE_NUMBER_PR_CHANGE="",IF(TITLE_NUMBER_PR="","",TITLE_NUMBER_PR),TITLE_NUMBER_PR_CHANGE)</f>
        <v/>
      </c>
      <c r="AC32" s="2212"/>
      <c r="AD32" s="2212"/>
      <c r="AE32" s="2212"/>
      <c r="AF32" s="2212"/>
      <c r="AG32" s="2212"/>
      <c r="AH32" s="2212"/>
      <c r="AI32" s="2212"/>
      <c r="AJ32" s="2212"/>
      <c r="AK32" s="2212"/>
      <c r="AL32" s="2212"/>
      <c r="AM32" s="2212"/>
      <c r="AN32" s="2212"/>
      <c r="AO32" s="2212"/>
      <c r="AP32" s="2212"/>
      <c r="AQ32" s="2212"/>
      <c r="AR32" s="2212"/>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10" t="s">
        <v>43</v>
      </c>
      <c r="T33" s="2210"/>
      <c r="U33" s="1299"/>
      <c r="V33" s="2212" t="str">
        <f>IF(TITLE_IST_PUB_CHANGE="",IF(TITLE_IST_PUB="","",TITLE_IST_PUB),TITLE_IST_PUB_CHANGE)</f>
        <v/>
      </c>
      <c r="W33" s="2212"/>
      <c r="X33" s="2212"/>
      <c r="Y33" s="2212"/>
      <c r="Z33" s="2212"/>
      <c r="AA33" s="263"/>
      <c r="AB33" s="2212" t="str">
        <f>IF(TITLE_IST_PUB_CHANGE="",IF(TITLE_IST_PUB="","",TITLE_IST_PUB),TITLE_IST_PUB_CHANGE)</f>
        <v/>
      </c>
      <c r="AC33" s="2212"/>
      <c r="AD33" s="2212"/>
      <c r="AE33" s="2212"/>
      <c r="AF33" s="2212"/>
      <c r="AG33" s="2212"/>
      <c r="AH33" s="2212"/>
      <c r="AI33" s="2212"/>
      <c r="AJ33" s="2212"/>
      <c r="AK33" s="2212"/>
      <c r="AL33" s="2212"/>
      <c r="AM33" s="2212"/>
      <c r="AN33" s="2212"/>
      <c r="AO33" s="2212"/>
      <c r="AP33" s="2212"/>
      <c r="AQ33" s="2212"/>
      <c r="AR33" s="2212"/>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210" t="s">
        <v>425</v>
      </c>
      <c r="T35" s="2210"/>
      <c r="U35" s="1299"/>
      <c r="V35" s="2211" t="str">
        <f>IF(TITLE_DATE_PR_CHANGE="",IF(TITLE_DATE_PR="","",TITLE_DATE_PR),TITLE_DATE_PR_CHANGE)</f>
        <v/>
      </c>
      <c r="W35" s="2211"/>
      <c r="X35" s="2211"/>
      <c r="Y35" s="2211"/>
      <c r="Z35" s="2211"/>
      <c r="AA35" s="263"/>
      <c r="AB35" s="2211" t="str">
        <f>IF(TITLE_DATE_PR_CHANGE="",IF(TITLE_DATE_PR="","",TITLE_DATE_PR),TITLE_DATE_PR_CHANGE)</f>
        <v/>
      </c>
      <c r="AC35" s="2211"/>
      <c r="AD35" s="2211"/>
      <c r="AE35" s="2211"/>
      <c r="AF35" s="2211"/>
      <c r="AG35" s="2211"/>
      <c r="AH35" s="2211"/>
      <c r="AI35" s="2211"/>
      <c r="AJ35" s="2211"/>
      <c r="AK35" s="2211"/>
      <c r="AL35" s="2211"/>
      <c r="AM35" s="2211"/>
      <c r="AN35" s="2211"/>
      <c r="AO35" s="2211"/>
      <c r="AP35" s="2211"/>
      <c r="AQ35" s="2211"/>
      <c r="AR35" s="2211"/>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210" t="s">
        <v>426</v>
      </c>
      <c r="T36" s="2210"/>
      <c r="U36" s="1299"/>
      <c r="V36" s="2212" t="str">
        <f>IF(TITLE_NUMBER_PR_CHANGE="",IF(TITLE_NUMBER_PR="","",TITLE_NUMBER_PR),TITLE_NUMBER_PR_CHANGE)</f>
        <v/>
      </c>
      <c r="W36" s="2212"/>
      <c r="X36" s="2212"/>
      <c r="Y36" s="2212"/>
      <c r="Z36" s="2212"/>
      <c r="AA36" s="263"/>
      <c r="AB36" s="2212" t="str">
        <f>IF(TITLE_NUMBER_PR_CHANGE="",IF(TITLE_NUMBER_PR="","",TITLE_NUMBER_PR),TITLE_NUMBER_PR_CHANGE)</f>
        <v/>
      </c>
      <c r="AC36" s="2212"/>
      <c r="AD36" s="2212"/>
      <c r="AE36" s="2212"/>
      <c r="AF36" s="2212"/>
      <c r="AG36" s="2212"/>
      <c r="AH36" s="2212"/>
      <c r="AI36" s="2212"/>
      <c r="AJ36" s="2212"/>
      <c r="AK36" s="2212"/>
      <c r="AL36" s="2212"/>
      <c r="AM36" s="2212"/>
      <c r="AN36" s="2212"/>
      <c r="AO36" s="2212"/>
      <c r="AP36" s="2212"/>
      <c r="AQ36" s="2212"/>
      <c r="AR36" s="2212"/>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5"/>
      <c r="AW37" s="305"/>
      <c r="AX37" s="305"/>
      <c r="AY37" s="305"/>
      <c r="AZ37" s="305"/>
      <c r="BA37" s="355">
        <v>1</v>
      </c>
    </row>
    <row r="38" spans="1:53" ht="14.65" customHeight="1">
      <c r="Q38" s="228"/>
      <c r="R38" s="313"/>
      <c r="S38" s="1202"/>
      <c r="T38" s="300"/>
      <c r="U38" s="1171"/>
      <c r="V38" s="2231"/>
      <c r="W38" s="2231"/>
      <c r="X38" s="2231"/>
      <c r="Y38" s="2231"/>
      <c r="Z38" s="2231"/>
      <c r="AA38" s="2231"/>
      <c r="AB38" s="2231"/>
      <c r="AC38" s="2231"/>
      <c r="AD38" s="2231"/>
      <c r="AE38" s="2231"/>
      <c r="AF38" s="2231"/>
      <c r="AG38" s="2231"/>
      <c r="AH38" s="2231"/>
      <c r="AI38" s="2231"/>
      <c r="AJ38" s="2231"/>
      <c r="AK38" s="2231"/>
      <c r="AL38" s="2231"/>
      <c r="AM38" s="2231"/>
      <c r="AN38" s="2231"/>
      <c r="AO38" s="2231"/>
      <c r="AP38" s="2231"/>
      <c r="AQ38" s="2231"/>
      <c r="AR38" s="2231"/>
      <c r="AS38" s="2231"/>
      <c r="BA38" s="1082">
        <v>14</v>
      </c>
    </row>
    <row r="39" spans="1:53" ht="14.65" customHeight="1">
      <c r="Q39" s="228"/>
      <c r="R39" s="313"/>
      <c r="S39" s="2091" t="s">
        <v>302</v>
      </c>
      <c r="T39" s="2091"/>
      <c r="U39" s="2091"/>
      <c r="V39" s="2091"/>
      <c r="W39" s="2091"/>
      <c r="X39" s="2091"/>
      <c r="Y39" s="2091"/>
      <c r="Z39" s="2091"/>
      <c r="AA39" s="2091"/>
      <c r="AB39" s="2150"/>
      <c r="AC39" s="2150"/>
      <c r="AD39" s="2150"/>
      <c r="AE39" s="2150"/>
      <c r="AF39" s="2091"/>
      <c r="AG39" s="2091"/>
      <c r="AH39" s="2091"/>
      <c r="AI39" s="2091"/>
      <c r="AJ39" s="2091"/>
      <c r="AK39" s="2091"/>
      <c r="AL39" s="2091"/>
      <c r="AM39" s="2091"/>
      <c r="AN39" s="2091"/>
      <c r="AO39" s="2091"/>
      <c r="AP39" s="2091"/>
      <c r="AQ39" s="2091"/>
      <c r="AR39" s="2091"/>
      <c r="AS39" s="2091"/>
      <c r="AT39" s="2091"/>
      <c r="AU39" s="2091" t="s">
        <v>303</v>
      </c>
      <c r="BA39" s="1082">
        <v>14</v>
      </c>
    </row>
    <row r="40" spans="1:53" ht="14.65" customHeight="1">
      <c r="Q40" s="228"/>
      <c r="R40" s="313"/>
      <c r="S40" s="2232" t="s">
        <v>87</v>
      </c>
      <c r="T40" s="2180" t="s">
        <v>475</v>
      </c>
      <c r="U40" s="238"/>
      <c r="V40" s="2234"/>
      <c r="W40" s="2234"/>
      <c r="X40" s="2234"/>
      <c r="Y40" s="2234"/>
      <c r="Z40" s="2235"/>
      <c r="AA40" s="2281" t="s">
        <v>432</v>
      </c>
      <c r="AB40" s="2265" t="s">
        <v>476</v>
      </c>
      <c r="AC40" s="2249"/>
      <c r="AD40" s="2249"/>
      <c r="AE40" s="2266"/>
      <c r="AF40" s="2249" t="s">
        <v>477</v>
      </c>
      <c r="AG40" s="2249"/>
      <c r="AH40" s="2249"/>
      <c r="AI40" s="2266"/>
      <c r="AJ40" s="2265" t="s">
        <v>478</v>
      </c>
      <c r="AK40" s="2249"/>
      <c r="AL40" s="2249"/>
      <c r="AM40" s="2266"/>
      <c r="AN40" s="2265" t="s">
        <v>431</v>
      </c>
      <c r="AO40" s="2249"/>
      <c r="AP40" s="2234"/>
      <c r="AQ40" s="2234"/>
      <c r="AR40" s="2235"/>
      <c r="AS40" s="2236" t="s">
        <v>432</v>
      </c>
      <c r="AT40" s="2239" t="s">
        <v>434</v>
      </c>
      <c r="AU40" s="2091"/>
      <c r="BA40" s="1082">
        <v>14</v>
      </c>
    </row>
    <row r="41" spans="1:53" ht="35.65" customHeight="1">
      <c r="Q41" s="228"/>
      <c r="R41" s="313"/>
      <c r="S41" s="2232"/>
      <c r="T41" s="2180"/>
      <c r="U41" s="961"/>
      <c r="V41" s="2091" t="s">
        <v>479</v>
      </c>
      <c r="W41" s="2091"/>
      <c r="X41" s="2151" t="s">
        <v>438</v>
      </c>
      <c r="Y41" s="2261"/>
      <c r="Z41" s="2152"/>
      <c r="AA41" s="2282"/>
      <c r="AB41" s="2267"/>
      <c r="AC41" s="2268"/>
      <c r="AD41" s="2268"/>
      <c r="AE41" s="2280"/>
      <c r="AF41" s="2268"/>
      <c r="AG41" s="2268"/>
      <c r="AH41" s="2268"/>
      <c r="AI41" s="2280"/>
      <c r="AJ41" s="2267"/>
      <c r="AK41" s="2268"/>
      <c r="AL41" s="2268"/>
      <c r="AM41" s="2268"/>
      <c r="AN41" s="2091" t="s">
        <v>479</v>
      </c>
      <c r="AO41" s="2091"/>
      <c r="AP41" s="2261" t="s">
        <v>438</v>
      </c>
      <c r="AQ41" s="2261"/>
      <c r="AR41" s="2152"/>
      <c r="AS41" s="2237"/>
      <c r="AT41" s="2240"/>
      <c r="AU41" s="2091"/>
      <c r="BA41" s="1082">
        <v>34</v>
      </c>
    </row>
    <row r="42" spans="1:53" ht="14.65" customHeight="1">
      <c r="Q42" s="228"/>
      <c r="R42" s="313"/>
      <c r="S42" s="2232"/>
      <c r="T42" s="2180"/>
      <c r="U42" s="961"/>
      <c r="V42" s="2285" t="str">
        <f>IF($AN$42&lt;&gt;"",$AN$42,"")</f>
        <v/>
      </c>
      <c r="W42" s="2285"/>
      <c r="X42" s="2156"/>
      <c r="Y42" s="2262"/>
      <c r="Z42" s="2157"/>
      <c r="AA42" s="2282"/>
      <c r="AB42" s="2267"/>
      <c r="AC42" s="2268"/>
      <c r="AD42" s="2268"/>
      <c r="AE42" s="2280"/>
      <c r="AF42" s="2268"/>
      <c r="AG42" s="2268"/>
      <c r="AH42" s="2268"/>
      <c r="AI42" s="2280"/>
      <c r="AJ42" s="2267"/>
      <c r="AK42" s="2268"/>
      <c r="AL42" s="2268"/>
      <c r="AM42" s="2268"/>
      <c r="AN42" s="2284"/>
      <c r="AO42" s="2284"/>
      <c r="AP42" s="2262"/>
      <c r="AQ42" s="2262"/>
      <c r="AR42" s="2157"/>
      <c r="AS42" s="2237"/>
      <c r="AT42" s="2240"/>
      <c r="AU42" s="2091"/>
      <c r="BA42" s="1082">
        <v>14</v>
      </c>
    </row>
    <row r="43" spans="1:53" ht="14.65" customHeight="1">
      <c r="A43" s="1297"/>
      <c r="B43" s="1297" t="s">
        <v>139</v>
      </c>
      <c r="C43" s="1297" t="s">
        <v>140</v>
      </c>
      <c r="D43" s="1297" t="s">
        <v>141</v>
      </c>
      <c r="E43" s="1291" t="s">
        <v>439</v>
      </c>
      <c r="F43" s="1291" t="s">
        <v>440</v>
      </c>
      <c r="G43" s="1291" t="s">
        <v>441</v>
      </c>
      <c r="H43" s="1291" t="s">
        <v>442</v>
      </c>
      <c r="I43" s="1291" t="s">
        <v>443</v>
      </c>
      <c r="J43" s="1291" t="s">
        <v>444</v>
      </c>
      <c r="K43" s="1291" t="s">
        <v>445</v>
      </c>
      <c r="L43" s="1291" t="s">
        <v>420</v>
      </c>
      <c r="Q43" s="228"/>
      <c r="R43" s="313"/>
      <c r="S43" s="2232"/>
      <c r="T43" s="2180"/>
      <c r="U43" s="239"/>
      <c r="V43" s="1257" t="s">
        <v>480</v>
      </c>
      <c r="W43" s="1257" t="s">
        <v>481</v>
      </c>
      <c r="X43" s="1265" t="s">
        <v>448</v>
      </c>
      <c r="Y43" s="2185" t="s">
        <v>449</v>
      </c>
      <c r="Z43" s="2199"/>
      <c r="AA43" s="2283"/>
      <c r="AB43" s="2269"/>
      <c r="AC43" s="2270"/>
      <c r="AD43" s="2270"/>
      <c r="AE43" s="2271"/>
      <c r="AF43" s="2270"/>
      <c r="AG43" s="2270"/>
      <c r="AH43" s="2270"/>
      <c r="AI43" s="2271"/>
      <c r="AJ43" s="2269"/>
      <c r="AK43" s="2270"/>
      <c r="AL43" s="2270"/>
      <c r="AM43" s="2271"/>
      <c r="AN43" s="1786" t="s">
        <v>480</v>
      </c>
      <c r="AO43" s="1786" t="s">
        <v>481</v>
      </c>
      <c r="AP43" s="1265" t="s">
        <v>448</v>
      </c>
      <c r="AQ43" s="2185" t="s">
        <v>449</v>
      </c>
      <c r="AR43" s="2199"/>
      <c r="AS43" s="2238"/>
      <c r="AT43" s="2241"/>
      <c r="AU43" s="209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30">
        <f ca="1">OFFSET(Y44,0,-1)+1</f>
        <v>6</v>
      </c>
      <c r="Z44" s="223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30">
        <f ca="1">OFFSET(AQ44,0,-1)+1</f>
        <v>4</v>
      </c>
      <c r="AR44" s="2230"/>
      <c r="AS44" s="1262">
        <f ca="1">OFFSET(AS44,0,-2)+1</f>
        <v>5</v>
      </c>
      <c r="AT44" s="1172">
        <f ca="1">OFFSET(AT44,0,-1)</f>
        <v>5</v>
      </c>
      <c r="AU44" s="1262">
        <f ca="1">OFFSET(AU44,0,-1)+1</f>
        <v>6</v>
      </c>
      <c r="AV44" s="448"/>
      <c r="AW44" s="448"/>
      <c r="AX44" s="448"/>
      <c r="AY44" s="448"/>
      <c r="AZ44" s="448"/>
      <c r="BA44" s="433">
        <v>0</v>
      </c>
    </row>
    <row r="45" spans="1:53" ht="107.25" customHeight="1">
      <c r="A45" s="1290" t="s">
        <v>202</v>
      </c>
      <c r="B45" s="1290"/>
      <c r="C45" s="1290"/>
      <c r="D45" s="1290"/>
      <c r="E45" s="2219">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127</v>
      </c>
      <c r="U45" s="237"/>
      <c r="V45" s="2214"/>
      <c r="W45" s="2214"/>
      <c r="X45" s="2214"/>
      <c r="Y45" s="2214"/>
      <c r="Z45" s="2214"/>
      <c r="AA45" s="2215"/>
      <c r="AB45" s="2213" t="str">
        <f>INDEX(PT_DIFFERENTIATION_NTAR,MATCH(A45,PT_DIFFERENTIATION_NTAR_ID,0))</f>
        <v/>
      </c>
      <c r="AC45" s="2214"/>
      <c r="AD45" s="2214"/>
      <c r="AE45" s="2214"/>
      <c r="AF45" s="2214"/>
      <c r="AG45" s="2214"/>
      <c r="AH45" s="2214"/>
      <c r="AI45" s="2214"/>
      <c r="AJ45" s="2214"/>
      <c r="AK45" s="2214"/>
      <c r="AL45" s="2214"/>
      <c r="AM45" s="2214"/>
      <c r="AN45" s="2214"/>
      <c r="AO45" s="2214"/>
      <c r="AP45" s="2214"/>
      <c r="AQ45" s="2214"/>
      <c r="AR45" s="2214"/>
      <c r="AS45" s="2214"/>
      <c r="AT45" s="221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202</v>
      </c>
      <c r="B46" s="1290" t="s">
        <v>203</v>
      </c>
      <c r="C46" s="1290"/>
      <c r="D46" s="1290"/>
      <c r="E46" s="2220"/>
      <c r="F46" s="2219">
        <v>1</v>
      </c>
      <c r="G46" s="1290"/>
      <c r="H46" s="1290"/>
      <c r="I46" s="1290"/>
      <c r="J46" s="1290"/>
      <c r="K46" s="1290"/>
      <c r="L46" s="1291"/>
      <c r="M46" s="1292"/>
      <c r="N46" s="1292"/>
      <c r="O46" s="1292"/>
      <c r="P46" s="1337"/>
      <c r="Q46" s="1338"/>
      <c r="R46" s="290"/>
      <c r="S46" s="1263" t="str">
        <f>INDEX(PT_DIFFERENTIATION_NUM_TER,MATCH(B46,PT_DIFFERENTIATION_TER_ID,0))</f>
        <v>.</v>
      </c>
      <c r="T46" s="245" t="s">
        <v>399</v>
      </c>
      <c r="U46" s="237"/>
      <c r="V46" s="2214"/>
      <c r="W46" s="2214"/>
      <c r="X46" s="2214"/>
      <c r="Y46" s="2214"/>
      <c r="Z46" s="2214"/>
      <c r="AA46" s="2215"/>
      <c r="AB46" s="2213" t="str">
        <f>INDEX(PT_DIFFERENTIATION_TER,MATCH(B46,PT_DIFFERENTIATION_TER_ID,0))</f>
        <v/>
      </c>
      <c r="AC46" s="2214"/>
      <c r="AD46" s="2214"/>
      <c r="AE46" s="2214"/>
      <c r="AF46" s="2214"/>
      <c r="AG46" s="2214"/>
      <c r="AH46" s="2214"/>
      <c r="AI46" s="2214"/>
      <c r="AJ46" s="2214"/>
      <c r="AK46" s="2214"/>
      <c r="AL46" s="2214"/>
      <c r="AM46" s="2214"/>
      <c r="AN46" s="2214"/>
      <c r="AO46" s="2214"/>
      <c r="AP46" s="2214"/>
      <c r="AQ46" s="2214"/>
      <c r="AR46" s="2214"/>
      <c r="AS46" s="2214"/>
      <c r="AT46" s="2215"/>
      <c r="AU46" s="1185" t="s">
        <v>400</v>
      </c>
      <c r="AW46" s="437"/>
      <c r="AX46" s="437" t="str">
        <f t="shared" si="2"/>
        <v>Территория действия тарифа</v>
      </c>
      <c r="AY46" s="437"/>
      <c r="AZ46" s="437"/>
      <c r="BA46" s="1082">
        <v>21</v>
      </c>
    </row>
    <row r="47" spans="1:53" ht="24" customHeight="1">
      <c r="A47" s="1290" t="s">
        <v>202</v>
      </c>
      <c r="B47" s="1290" t="s">
        <v>203</v>
      </c>
      <c r="C47" s="1290" t="s">
        <v>204</v>
      </c>
      <c r="D47" s="1290"/>
      <c r="E47" s="2220"/>
      <c r="F47" s="2220"/>
      <c r="G47" s="2219">
        <v>1</v>
      </c>
      <c r="H47" s="1290"/>
      <c r="I47" s="1290"/>
      <c r="J47" s="1290"/>
      <c r="K47" s="1290"/>
      <c r="L47" s="1291"/>
      <c r="M47" s="1292"/>
      <c r="N47" s="1292"/>
      <c r="O47" s="1292"/>
      <c r="P47" s="1339"/>
      <c r="Q47" s="1338"/>
      <c r="R47" s="290"/>
      <c r="S47" s="1263" t="str">
        <f>INDEX(PT_DIFFERENTIATION_NUM_CS,MATCH(C47,PT_DIFFERENTIATION_CS_ID,0))</f>
        <v>..</v>
      </c>
      <c r="T47" s="246" t="s">
        <v>401</v>
      </c>
      <c r="U47" s="237"/>
      <c r="V47" s="2214"/>
      <c r="W47" s="2214"/>
      <c r="X47" s="2214"/>
      <c r="Y47" s="2214"/>
      <c r="Z47" s="2214"/>
      <c r="AA47" s="2215"/>
      <c r="AB47" s="2213" t="str">
        <f>INDEX(PT_DIFFERENTIATION_CS,MATCH(C47,PT_DIFFERENTIATION_CS_ID,0))</f>
        <v/>
      </c>
      <c r="AC47" s="2214"/>
      <c r="AD47" s="2214"/>
      <c r="AE47" s="2214"/>
      <c r="AF47" s="2214"/>
      <c r="AG47" s="2214"/>
      <c r="AH47" s="2214"/>
      <c r="AI47" s="2214"/>
      <c r="AJ47" s="2214"/>
      <c r="AK47" s="2214"/>
      <c r="AL47" s="2214"/>
      <c r="AM47" s="2214"/>
      <c r="AN47" s="2214"/>
      <c r="AO47" s="2214"/>
      <c r="AP47" s="2214"/>
      <c r="AQ47" s="2214"/>
      <c r="AR47" s="2214"/>
      <c r="AS47" s="2214"/>
      <c r="AT47" s="2215"/>
      <c r="AU47" s="1185" t="s">
        <v>402</v>
      </c>
      <c r="AW47" s="437"/>
      <c r="AX47" s="437" t="str">
        <f t="shared" si="2"/>
        <v xml:space="preserve">Наименование системы теплоснабжения </v>
      </c>
      <c r="AY47" s="437"/>
      <c r="AZ47" s="437"/>
      <c r="BA47" s="1082">
        <v>23</v>
      </c>
    </row>
    <row r="48" spans="1:53" ht="21" customHeight="1">
      <c r="A48" s="1290" t="s">
        <v>202</v>
      </c>
      <c r="B48" s="1290" t="s">
        <v>203</v>
      </c>
      <c r="C48" s="1290" t="s">
        <v>204</v>
      </c>
      <c r="D48" s="1290" t="s">
        <v>205</v>
      </c>
      <c r="E48" s="2220"/>
      <c r="F48" s="2220"/>
      <c r="G48" s="2220"/>
      <c r="H48" s="2219">
        <v>1</v>
      </c>
      <c r="I48" s="1290"/>
      <c r="J48" s="1290"/>
      <c r="K48" s="1290"/>
      <c r="L48" s="1291"/>
      <c r="M48" s="1292"/>
      <c r="N48" s="1292"/>
      <c r="O48" s="1292"/>
      <c r="P48" s="1339"/>
      <c r="Q48" s="1338"/>
      <c r="R48" s="290"/>
      <c r="S48" s="1263" t="str">
        <f>INDEX(PT_DIFFERENTIATION_NUM_IST_TE,MATCH(D48,PT_DIFFERENTIATION_IST_TE_ID,0))</f>
        <v>...</v>
      </c>
      <c r="T48" s="247" t="s">
        <v>403</v>
      </c>
      <c r="U48" s="237"/>
      <c r="V48" s="2214"/>
      <c r="W48" s="2214"/>
      <c r="X48" s="2214"/>
      <c r="Y48" s="2214"/>
      <c r="Z48" s="2214"/>
      <c r="AA48" s="2215"/>
      <c r="AB48" s="2213" t="str">
        <f>INDEX(PT_DIFFERENTIATION_IST_TE,MATCH(D48,PT_DIFFERENTIATION_IST_TE_ID,0))</f>
        <v/>
      </c>
      <c r="AC48" s="2214"/>
      <c r="AD48" s="2214"/>
      <c r="AE48" s="2214"/>
      <c r="AF48" s="2214"/>
      <c r="AG48" s="2214"/>
      <c r="AH48" s="2214"/>
      <c r="AI48" s="2214"/>
      <c r="AJ48" s="2214"/>
      <c r="AK48" s="2214"/>
      <c r="AL48" s="2214"/>
      <c r="AM48" s="2214"/>
      <c r="AN48" s="2214"/>
      <c r="AO48" s="2214"/>
      <c r="AP48" s="2214"/>
      <c r="AQ48" s="2214"/>
      <c r="AR48" s="2214"/>
      <c r="AS48" s="2214"/>
      <c r="AT48" s="2215"/>
      <c r="AU48" s="1185" t="s">
        <v>404</v>
      </c>
      <c r="AW48" s="437"/>
      <c r="AX48" s="437" t="str">
        <f t="shared" si="2"/>
        <v xml:space="preserve">Источник тепловой энергии  </v>
      </c>
      <c r="AY48" s="437"/>
      <c r="AZ48" s="437"/>
      <c r="BA48" s="1082">
        <v>20</v>
      </c>
    </row>
    <row r="49" spans="1:53" s="1569" customFormat="1" ht="1.1499999999999999" customHeight="1">
      <c r="A49" s="1270" t="s">
        <v>202</v>
      </c>
      <c r="B49" s="1270" t="s">
        <v>203</v>
      </c>
      <c r="C49" s="1270" t="s">
        <v>204</v>
      </c>
      <c r="D49" s="1270" t="s">
        <v>205</v>
      </c>
      <c r="E49" s="2220"/>
      <c r="F49" s="2220"/>
      <c r="G49" s="2220"/>
      <c r="H49" s="2220"/>
      <c r="I49" s="2221" t="str">
        <f>S48&amp;".1"</f>
        <v>....1</v>
      </c>
      <c r="J49" s="1270"/>
      <c r="K49" s="1270"/>
      <c r="L49" s="1273" t="s">
        <v>405</v>
      </c>
      <c r="M49" s="447"/>
      <c r="N49" s="447"/>
      <c r="O49" s="447"/>
      <c r="P49" s="2223">
        <v>1</v>
      </c>
      <c r="Q49" s="1258"/>
      <c r="R49" s="293"/>
      <c r="S49" s="972"/>
      <c r="T49" s="1310"/>
      <c r="U49" s="1311"/>
      <c r="V49" s="2251"/>
      <c r="W49" s="2251"/>
      <c r="X49" s="2251"/>
      <c r="Y49" s="2251"/>
      <c r="Z49" s="2251"/>
      <c r="AA49" s="2252"/>
      <c r="AB49" s="2250"/>
      <c r="AC49" s="2251"/>
      <c r="AD49" s="2251"/>
      <c r="AE49" s="2251"/>
      <c r="AF49" s="2251"/>
      <c r="AG49" s="2251"/>
      <c r="AH49" s="2251"/>
      <c r="AI49" s="2251"/>
      <c r="AJ49" s="2251"/>
      <c r="AK49" s="2251"/>
      <c r="AL49" s="2251"/>
      <c r="AM49" s="2251"/>
      <c r="AN49" s="2251"/>
      <c r="AO49" s="2251"/>
      <c r="AP49" s="2251"/>
      <c r="AQ49" s="2251"/>
      <c r="AR49" s="2251"/>
      <c r="AS49" s="2251"/>
      <c r="AT49" s="2252"/>
      <c r="AU49" s="1312"/>
      <c r="AW49" s="437"/>
      <c r="AX49" s="437" t="str">
        <f t="shared" si="2"/>
        <v/>
      </c>
      <c r="AY49" s="437"/>
      <c r="AZ49" s="437"/>
      <c r="BA49" s="448">
        <v>1</v>
      </c>
    </row>
    <row r="50" spans="1:53" s="1569" customFormat="1" ht="1.1499999999999999" customHeight="1">
      <c r="A50" s="1270" t="s">
        <v>202</v>
      </c>
      <c r="B50" s="1270" t="s">
        <v>203</v>
      </c>
      <c r="C50" s="1270" t="s">
        <v>204</v>
      </c>
      <c r="D50" s="1270" t="s">
        <v>205</v>
      </c>
      <c r="E50" s="2220"/>
      <c r="F50" s="2220"/>
      <c r="G50" s="2220"/>
      <c r="H50" s="2220"/>
      <c r="I50" s="2222"/>
      <c r="J50" s="2221" t="str">
        <f>S48&amp;".1"</f>
        <v>....1</v>
      </c>
      <c r="K50" s="1270"/>
      <c r="L50" s="1273"/>
      <c r="M50" s="447"/>
      <c r="N50" s="447"/>
      <c r="O50" s="447"/>
      <c r="P50" s="2223"/>
      <c r="Q50" s="2223">
        <v>1</v>
      </c>
      <c r="R50" s="294"/>
      <c r="S50" s="972"/>
      <c r="T50" s="1326"/>
      <c r="U50" s="1311"/>
      <c r="V50" s="2251"/>
      <c r="W50" s="2251"/>
      <c r="X50" s="2251"/>
      <c r="Y50" s="2251"/>
      <c r="Z50" s="2251"/>
      <c r="AA50" s="2252"/>
      <c r="AB50" s="2250"/>
      <c r="AC50" s="2251"/>
      <c r="AD50" s="2251"/>
      <c r="AE50" s="2251"/>
      <c r="AF50" s="2251"/>
      <c r="AG50" s="2251"/>
      <c r="AH50" s="2251"/>
      <c r="AI50" s="2251"/>
      <c r="AJ50" s="2251"/>
      <c r="AK50" s="2251"/>
      <c r="AL50" s="2251"/>
      <c r="AM50" s="2251"/>
      <c r="AN50" s="2251"/>
      <c r="AO50" s="2251"/>
      <c r="AP50" s="2251"/>
      <c r="AQ50" s="2251"/>
      <c r="AR50" s="2251"/>
      <c r="AS50" s="2251"/>
      <c r="AT50" s="2252"/>
      <c r="AU50" s="1312"/>
      <c r="AW50" s="437"/>
      <c r="AX50" s="437" t="str">
        <f t="shared" si="2"/>
        <v/>
      </c>
      <c r="AY50" s="437"/>
      <c r="AZ50" s="437"/>
      <c r="BA50" s="448">
        <v>1</v>
      </c>
    </row>
    <row r="51" spans="1:53" ht="21.95" customHeight="1">
      <c r="A51" s="1290" t="s">
        <v>202</v>
      </c>
      <c r="B51" s="1290" t="s">
        <v>203</v>
      </c>
      <c r="C51" s="1290" t="s">
        <v>204</v>
      </c>
      <c r="D51" s="1290" t="s">
        <v>205</v>
      </c>
      <c r="E51" s="2220"/>
      <c r="F51" s="2220"/>
      <c r="G51" s="2220"/>
      <c r="H51" s="2220"/>
      <c r="I51" s="2222"/>
      <c r="J51" s="2222"/>
      <c r="K51" s="2221" t="str">
        <f>S48&amp;".1"</f>
        <v>....1</v>
      </c>
      <c r="L51" s="1291"/>
      <c r="P51" s="2223"/>
      <c r="Q51" s="2223"/>
      <c r="R51" s="294">
        <v>1</v>
      </c>
      <c r="S51" s="2276" t="str">
        <f>$K51</f>
        <v>....1</v>
      </c>
      <c r="T51" s="2273"/>
      <c r="U51" s="237"/>
      <c r="V51" s="688"/>
      <c r="W51" s="1184"/>
      <c r="X51" s="1661"/>
      <c r="Y51" s="1386" t="s">
        <v>65</v>
      </c>
      <c r="Z51" s="1661"/>
      <c r="AA51" s="1386" t="s">
        <v>65</v>
      </c>
      <c r="AB51" s="2102" t="s">
        <v>19</v>
      </c>
      <c r="AC51" s="2272"/>
      <c r="AD51" s="2176">
        <v>1</v>
      </c>
      <c r="AE51" s="2264" t="s">
        <v>22</v>
      </c>
      <c r="AF51" s="2102" t="s">
        <v>19</v>
      </c>
      <c r="AG51" s="2272"/>
      <c r="AH51" s="2176">
        <v>1</v>
      </c>
      <c r="AI51" s="2264" t="s">
        <v>22</v>
      </c>
      <c r="AJ51" s="2102" t="s">
        <v>19</v>
      </c>
      <c r="AK51" s="248"/>
      <c r="AL51" s="1264">
        <v>1</v>
      </c>
      <c r="AM51" s="1329"/>
      <c r="AN51" s="688"/>
      <c r="AO51" s="1184"/>
      <c r="AP51" s="1661"/>
      <c r="AQ51" s="1386" t="s">
        <v>65</v>
      </c>
      <c r="AR51" s="1661"/>
      <c r="AS51" s="1386" t="s">
        <v>65</v>
      </c>
      <c r="AT51" s="1275"/>
      <c r="AU51" s="2242" t="s">
        <v>482</v>
      </c>
      <c r="AV51" s="448" t="e">
        <f ca="1">STRCHECKDATE(V54:AT54)</f>
        <v>#NAME?</v>
      </c>
      <c r="AW51" s="437"/>
      <c r="AX51" s="437" t="str">
        <f t="shared" si="2"/>
        <v/>
      </c>
      <c r="AY51" s="437"/>
      <c r="AZ51" s="437"/>
      <c r="BA51" s="1082">
        <v>21</v>
      </c>
    </row>
    <row r="52" spans="1:53" ht="11.45" customHeight="1">
      <c r="A52" s="1290" t="s">
        <v>202</v>
      </c>
      <c r="B52" s="1290"/>
      <c r="C52" s="1290"/>
      <c r="D52" s="1290"/>
      <c r="E52" s="2220"/>
      <c r="F52" s="2220"/>
      <c r="G52" s="2220"/>
      <c r="H52" s="2220"/>
      <c r="I52" s="2222"/>
      <c r="J52" s="2222"/>
      <c r="K52" s="2221"/>
      <c r="L52" s="1291"/>
      <c r="P52" s="2223"/>
      <c r="Q52" s="2223"/>
      <c r="R52" s="294"/>
      <c r="S52" s="2277"/>
      <c r="T52" s="2274"/>
      <c r="U52" s="237"/>
      <c r="V52" s="1320"/>
      <c r="W52" s="1423"/>
      <c r="X52" s="1320"/>
      <c r="Y52" s="1320"/>
      <c r="Z52" s="1320"/>
      <c r="AA52" s="1320"/>
      <c r="AB52" s="2102"/>
      <c r="AC52" s="2272"/>
      <c r="AD52" s="2176"/>
      <c r="AE52" s="2264"/>
      <c r="AF52" s="2102"/>
      <c r="AG52" s="2272"/>
      <c r="AH52" s="2176"/>
      <c r="AI52" s="2264"/>
      <c r="AJ52" s="2102"/>
      <c r="AK52" s="253"/>
      <c r="AL52" s="353"/>
      <c r="AM52" s="352" t="s">
        <v>467</v>
      </c>
      <c r="AN52" s="1320"/>
      <c r="AO52" s="1423"/>
      <c r="AP52" s="1320"/>
      <c r="AQ52" s="1320"/>
      <c r="AR52" s="1320"/>
      <c r="AS52" s="1320"/>
      <c r="AT52" s="1317"/>
      <c r="AU52" s="2243"/>
      <c r="AW52" s="437"/>
      <c r="AX52" s="437"/>
      <c r="AY52" s="437"/>
      <c r="AZ52" s="437"/>
      <c r="BA52" s="1082">
        <v>11</v>
      </c>
    </row>
    <row r="53" spans="1:53" ht="11.45" customHeight="1">
      <c r="A53" s="1290" t="s">
        <v>202</v>
      </c>
      <c r="B53" s="1290"/>
      <c r="C53" s="1290"/>
      <c r="D53" s="1290"/>
      <c r="E53" s="2220"/>
      <c r="F53" s="2220"/>
      <c r="G53" s="2220"/>
      <c r="H53" s="2220"/>
      <c r="I53" s="2222"/>
      <c r="J53" s="2222"/>
      <c r="K53" s="2221"/>
      <c r="L53" s="1291"/>
      <c r="P53" s="2223"/>
      <c r="Q53" s="2223"/>
      <c r="R53" s="294"/>
      <c r="S53" s="2277"/>
      <c r="T53" s="2274"/>
      <c r="U53" s="237"/>
      <c r="V53" s="1320"/>
      <c r="W53" s="1423"/>
      <c r="X53" s="1320"/>
      <c r="Y53" s="1320"/>
      <c r="Z53" s="1320"/>
      <c r="AA53" s="1320"/>
      <c r="AB53" s="2102"/>
      <c r="AC53" s="2272"/>
      <c r="AD53" s="2176"/>
      <c r="AE53" s="2264"/>
      <c r="AF53" s="2102"/>
      <c r="AG53" s="231"/>
      <c r="AH53" s="352"/>
      <c r="AI53" s="352" t="s">
        <v>468</v>
      </c>
      <c r="AJ53" s="1320"/>
      <c r="AK53" s="1320"/>
      <c r="AL53" s="1320"/>
      <c r="AM53" s="1320"/>
      <c r="AN53" s="1320"/>
      <c r="AO53" s="1423"/>
      <c r="AP53" s="1320"/>
      <c r="AQ53" s="1320"/>
      <c r="AR53" s="1320"/>
      <c r="AS53" s="1320"/>
      <c r="AT53" s="1317"/>
      <c r="AU53" s="2243"/>
      <c r="AW53" s="437"/>
      <c r="AX53" s="437"/>
      <c r="AY53" s="437"/>
      <c r="AZ53" s="437"/>
      <c r="BA53" s="1082">
        <v>11</v>
      </c>
    </row>
    <row r="54" spans="1:53" ht="11.45" customHeight="1">
      <c r="A54" s="1290" t="s">
        <v>202</v>
      </c>
      <c r="B54" s="1290" t="s">
        <v>203</v>
      </c>
      <c r="C54" s="1290" t="s">
        <v>204</v>
      </c>
      <c r="D54" s="1290" t="s">
        <v>205</v>
      </c>
      <c r="E54" s="2220"/>
      <c r="F54" s="2220"/>
      <c r="G54" s="2220"/>
      <c r="H54" s="2220"/>
      <c r="I54" s="2222"/>
      <c r="J54" s="2222"/>
      <c r="K54" s="2221"/>
      <c r="L54" s="1291"/>
      <c r="P54" s="2223"/>
      <c r="Q54" s="2223"/>
      <c r="R54" s="294"/>
      <c r="S54" s="2278"/>
      <c r="T54" s="2275"/>
      <c r="U54" s="237"/>
      <c r="V54" s="1320"/>
      <c r="W54" s="1321" t="str">
        <f>X51&amp;"-"&amp;Z51</f>
        <v>-</v>
      </c>
      <c r="X54" s="1320"/>
      <c r="Y54" s="1320"/>
      <c r="Z54" s="1320"/>
      <c r="AA54" s="1320"/>
      <c r="AB54" s="2102"/>
      <c r="AC54" s="249"/>
      <c r="AD54" s="251"/>
      <c r="AE54" s="352" t="s">
        <v>469</v>
      </c>
      <c r="AF54" s="1320"/>
      <c r="AG54" s="1320"/>
      <c r="AH54" s="1320"/>
      <c r="AI54" s="1320"/>
      <c r="AJ54" s="1320"/>
      <c r="AK54" s="1320"/>
      <c r="AL54" s="1320"/>
      <c r="AM54" s="1320"/>
      <c r="AN54" s="1320"/>
      <c r="AO54" s="1321" t="str">
        <f>AP51&amp;"-"&amp;AR51</f>
        <v>-</v>
      </c>
      <c r="AP54" s="1320"/>
      <c r="AQ54" s="1320"/>
      <c r="AR54" s="1320"/>
      <c r="AS54" s="1320"/>
      <c r="AT54" s="1276"/>
      <c r="AU54" s="2243"/>
      <c r="AW54" s="437"/>
      <c r="AX54" s="437" t="str">
        <f t="shared" ref="AX54:AX62" si="3">IF(T54="","",T54)</f>
        <v/>
      </c>
      <c r="AY54" s="437"/>
      <c r="AZ54" s="437"/>
      <c r="BA54" s="1082">
        <v>11</v>
      </c>
    </row>
    <row r="55" spans="1:53" ht="11.45" customHeight="1">
      <c r="A55" s="1290" t="s">
        <v>202</v>
      </c>
      <c r="B55" s="1290" t="s">
        <v>203</v>
      </c>
      <c r="C55" s="1290" t="s">
        <v>204</v>
      </c>
      <c r="D55" s="1290" t="s">
        <v>205</v>
      </c>
      <c r="E55" s="2220"/>
      <c r="F55" s="2220"/>
      <c r="G55" s="2220"/>
      <c r="H55" s="2220"/>
      <c r="I55" s="2222"/>
      <c r="J55" s="2221"/>
      <c r="K55" s="1290"/>
      <c r="L55" s="1291"/>
      <c r="P55" s="2223"/>
      <c r="Q55" s="2223"/>
      <c r="R55" s="293"/>
      <c r="S55" s="1205"/>
      <c r="T55" s="224" t="s">
        <v>470</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44"/>
      <c r="AW55" s="437"/>
      <c r="AX55" s="437" t="str">
        <f t="shared" si="3"/>
        <v>Добавить строку</v>
      </c>
      <c r="AY55" s="437"/>
      <c r="AZ55" s="437"/>
      <c r="BA55" s="1082">
        <v>11</v>
      </c>
    </row>
    <row r="56" spans="1:53" s="1569" customFormat="1" ht="1.1499999999999999" customHeight="1">
      <c r="A56" s="1270" t="s">
        <v>202</v>
      </c>
      <c r="B56" s="1270" t="s">
        <v>203</v>
      </c>
      <c r="C56" s="1270" t="s">
        <v>204</v>
      </c>
      <c r="D56" s="1270" t="s">
        <v>205</v>
      </c>
      <c r="E56" s="2220"/>
      <c r="F56" s="2220"/>
      <c r="G56" s="2220"/>
      <c r="H56" s="2220"/>
      <c r="I56" s="2221"/>
      <c r="J56" s="1270"/>
      <c r="K56" s="1270"/>
      <c r="L56" s="1273"/>
      <c r="M56" s="447"/>
      <c r="N56" s="447"/>
      <c r="O56" s="447"/>
      <c r="P56" s="2223"/>
      <c r="Q56" s="1258"/>
      <c r="R56" s="293"/>
      <c r="S56" s="1313"/>
      <c r="T56" s="1314" t="s">
        <v>414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202</v>
      </c>
      <c r="B57" s="1270" t="s">
        <v>203</v>
      </c>
      <c r="C57" s="1270" t="s">
        <v>204</v>
      </c>
      <c r="D57" s="1270" t="s">
        <v>205</v>
      </c>
      <c r="E57" s="2220"/>
      <c r="F57" s="2220"/>
      <c r="G57" s="2220"/>
      <c r="H57" s="221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202</v>
      </c>
      <c r="B58" s="1270" t="s">
        <v>203</v>
      </c>
      <c r="C58" s="1270" t="s">
        <v>204</v>
      </c>
      <c r="D58" s="1241"/>
      <c r="E58" s="2220"/>
      <c r="F58" s="2220"/>
      <c r="G58" s="2219"/>
      <c r="H58" s="1241"/>
      <c r="I58" s="1241"/>
      <c r="J58" s="1241"/>
      <c r="K58" s="1241"/>
      <c r="L58" s="1266"/>
      <c r="M58" s="1242"/>
      <c r="N58" s="1242"/>
      <c r="P58" s="1243"/>
      <c r="Q58" s="1244"/>
      <c r="R58" s="1243"/>
      <c r="S58" s="1249"/>
      <c r="T58" s="1252" t="s">
        <v>416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202</v>
      </c>
      <c r="B59" s="1270" t="s">
        <v>203</v>
      </c>
      <c r="C59" s="1241"/>
      <c r="D59" s="1241"/>
      <c r="E59" s="2220"/>
      <c r="F59" s="2219"/>
      <c r="G59" s="1241"/>
      <c r="H59" s="1241"/>
      <c r="I59" s="1241"/>
      <c r="J59" s="1241"/>
      <c r="K59" s="1241"/>
      <c r="L59" s="1266"/>
      <c r="M59" s="1248"/>
      <c r="N59" s="1248"/>
      <c r="P59" s="1243"/>
      <c r="Q59" s="1244"/>
      <c r="R59" s="1243"/>
      <c r="S59" s="1249"/>
      <c r="T59" s="1252" t="s">
        <v>417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202</v>
      </c>
      <c r="B60" s="1270"/>
      <c r="C60" s="1270"/>
      <c r="D60" s="1270"/>
      <c r="E60" s="2220"/>
      <c r="F60" s="1270"/>
      <c r="G60" s="1270"/>
      <c r="H60" s="1270"/>
      <c r="I60" s="1270"/>
      <c r="J60" s="1270"/>
      <c r="K60" s="1270"/>
      <c r="L60" s="1273"/>
      <c r="M60" s="1248"/>
      <c r="N60" s="1248"/>
      <c r="O60" s="455"/>
      <c r="P60" s="317"/>
      <c r="Q60" s="1271"/>
      <c r="R60" s="317"/>
      <c r="S60" s="1249"/>
      <c r="T60" s="1252" t="s">
        <v>418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202</v>
      </c>
      <c r="B61" s="1270"/>
      <c r="C61" s="1270"/>
      <c r="D61" s="1270"/>
      <c r="E61" s="2219"/>
      <c r="F61" s="1270"/>
      <c r="G61" s="1270"/>
      <c r="H61" s="1270"/>
      <c r="I61" s="1270"/>
      <c r="J61" s="1270"/>
      <c r="K61" s="1270"/>
      <c r="L61" s="1273"/>
      <c r="M61" s="1248"/>
      <c r="N61" s="1248"/>
      <c r="O61" s="455"/>
      <c r="P61" s="317"/>
      <c r="Q61" s="1271"/>
      <c r="R61" s="317"/>
      <c r="S61" s="1249"/>
      <c r="T61" s="1252" t="s">
        <v>418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450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18"/>
      <c r="U64" s="2218"/>
      <c r="V64" s="2218"/>
      <c r="W64" s="2218"/>
      <c r="X64" s="2218"/>
      <c r="Y64" s="2218"/>
      <c r="Z64" s="2218"/>
      <c r="AA64" s="2218"/>
      <c r="AB64" s="2218"/>
      <c r="AC64" s="2218"/>
      <c r="AD64" s="2218"/>
      <c r="AE64" s="2218"/>
      <c r="AF64" s="2218"/>
      <c r="AG64" s="2218"/>
      <c r="AH64" s="2218"/>
      <c r="AI64" s="2218"/>
      <c r="AJ64" s="2218"/>
      <c r="AK64" s="2218"/>
      <c r="AL64" s="2218"/>
      <c r="AM64" s="2218"/>
      <c r="AN64" s="2218"/>
      <c r="AO64" s="2218"/>
      <c r="AP64" s="2218"/>
      <c r="AQ64" s="2218"/>
      <c r="AR64" s="2218"/>
      <c r="AS64" s="2218"/>
      <c r="AT64" s="2218"/>
      <c r="AU64" s="2218"/>
      <c r="BA64" s="1082">
        <v>19</v>
      </c>
    </row>
    <row r="65" spans="1:53" ht="21" customHeight="1">
      <c r="O65" s="474"/>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c r="AS65" s="2218"/>
      <c r="AT65" s="2218"/>
      <c r="AU65" s="221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c r="AS67" s="2218"/>
      <c r="AT67" s="2218"/>
      <c r="AU67" s="2218"/>
      <c r="BA67" s="1082">
        <v>19</v>
      </c>
    </row>
    <row r="68" spans="1:53" ht="16.899999999999999" customHeight="1">
      <c r="O68" s="474"/>
      <c r="T68" s="2218"/>
      <c r="U68" s="2218"/>
      <c r="V68" s="2218"/>
      <c r="W68" s="2218"/>
      <c r="X68" s="2218"/>
      <c r="Y68" s="2218"/>
      <c r="Z68" s="2218"/>
      <c r="AA68" s="2218"/>
      <c r="AB68" s="2218"/>
      <c r="AC68" s="2218"/>
      <c r="AD68" s="2218"/>
      <c r="AE68" s="2218"/>
      <c r="AF68" s="2218"/>
      <c r="AG68" s="2218"/>
      <c r="AH68" s="2218"/>
      <c r="AI68" s="2218"/>
      <c r="AJ68" s="2218"/>
      <c r="AK68" s="2218"/>
      <c r="AL68" s="2218"/>
      <c r="AM68" s="2218"/>
      <c r="AN68" s="2218"/>
      <c r="AO68" s="2218"/>
      <c r="AP68" s="2218"/>
      <c r="AQ68" s="2218"/>
      <c r="AR68" s="2218"/>
      <c r="AS68" s="2218"/>
      <c r="AT68" s="2218"/>
      <c r="AU68" s="2218"/>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9">
        <v>1</v>
      </c>
      <c r="F2" s="1290"/>
      <c r="G2" s="1290"/>
      <c r="H2" s="1290"/>
      <c r="I2" s="1290"/>
      <c r="J2" s="1290"/>
      <c r="K2" s="1290"/>
      <c r="L2" s="1291"/>
      <c r="M2" s="1292"/>
      <c r="N2" s="1292"/>
      <c r="O2" s="1292"/>
      <c r="P2" s="298"/>
      <c r="Q2" s="297"/>
      <c r="R2" s="292"/>
      <c r="S2" s="1352"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0"/>
      <c r="F3" s="2219">
        <v>1</v>
      </c>
      <c r="G3" s="1290"/>
      <c r="H3" s="1290"/>
      <c r="I3" s="1290"/>
      <c r="J3" s="1290"/>
      <c r="K3" s="1290"/>
      <c r="L3" s="1291"/>
      <c r="M3" s="1292"/>
      <c r="N3" s="1292"/>
      <c r="O3" s="1292"/>
      <c r="P3" s="1350"/>
      <c r="Q3" s="289"/>
      <c r="R3" s="290"/>
      <c r="S3" s="1352"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5" t="s">
        <v>400</v>
      </c>
      <c r="AM3" s="437"/>
      <c r="AN3" s="437" t="str">
        <f t="shared" si="0"/>
        <v>Территория действия тарифа</v>
      </c>
      <c r="AO3" s="437"/>
      <c r="AP3" s="437"/>
      <c r="AQ3" s="1082">
        <v>0</v>
      </c>
    </row>
    <row r="4" spans="1:43" ht="23.25" hidden="1" customHeight="1">
      <c r="A4" s="1290"/>
      <c r="B4" s="1290"/>
      <c r="C4" s="1290"/>
      <c r="D4" s="1290"/>
      <c r="E4" s="2220"/>
      <c r="F4" s="2220"/>
      <c r="G4" s="2219">
        <v>1</v>
      </c>
      <c r="H4" s="1290"/>
      <c r="I4" s="1290"/>
      <c r="J4" s="1290"/>
      <c r="K4" s="1290"/>
      <c r="L4" s="1291"/>
      <c r="M4" s="1292"/>
      <c r="N4" s="1292"/>
      <c r="O4" s="1292"/>
      <c r="P4" s="291"/>
      <c r="Q4" s="289"/>
      <c r="R4" s="290"/>
      <c r="S4" s="1352" t="e">
        <f>INDEX(PT_DIFFERENTIATION_NUM_CS,MATCH(C4,PT_DIFFERENTIATION_CS_ID,0))</f>
        <v>#N/A</v>
      </c>
      <c r="T4" s="246" t="s">
        <v>483</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0"/>
      <c r="F5" s="2220"/>
      <c r="G5" s="2220"/>
      <c r="H5" s="2220"/>
      <c r="I5" s="2221" t="e">
        <f>S4&amp;".1"</f>
        <v>#N/A</v>
      </c>
      <c r="J5" s="1290"/>
      <c r="K5" s="1290"/>
      <c r="L5" s="1291"/>
      <c r="P5" s="2223">
        <v>1</v>
      </c>
      <c r="Q5" s="1349"/>
      <c r="R5" s="293"/>
      <c r="S5" s="1352" t="e">
        <f>$I5</f>
        <v>#N/A</v>
      </c>
      <c r="T5" s="222" t="s">
        <v>485</v>
      </c>
      <c r="U5" s="237"/>
      <c r="V5" s="2287"/>
      <c r="W5" s="2288"/>
      <c r="X5" s="2288"/>
      <c r="Y5" s="2288"/>
      <c r="Z5" s="2288"/>
      <c r="AA5" s="2288"/>
      <c r="AB5" s="2289"/>
      <c r="AC5" s="2290"/>
      <c r="AD5" s="2291"/>
      <c r="AE5" s="2291"/>
      <c r="AF5" s="2291"/>
      <c r="AG5" s="2291"/>
      <c r="AH5" s="2291"/>
      <c r="AI5" s="2291"/>
      <c r="AJ5" s="2292"/>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0"/>
      <c r="F6" s="2220"/>
      <c r="G6" s="2220"/>
      <c r="H6" s="2220"/>
      <c r="I6" s="2222"/>
      <c r="J6" s="2221" t="e">
        <f>I5&amp;".1"</f>
        <v>#N/A</v>
      </c>
      <c r="K6" s="1290"/>
      <c r="L6" s="1291" t="s">
        <v>408</v>
      </c>
      <c r="P6" s="2223"/>
      <c r="Q6" s="2223">
        <v>1</v>
      </c>
      <c r="R6" s="294"/>
      <c r="S6" s="1352" t="e">
        <f>$J6</f>
        <v>#N/A</v>
      </c>
      <c r="T6" s="223" t="s">
        <v>409</v>
      </c>
      <c r="U6" s="237"/>
      <c r="V6" s="2207"/>
      <c r="W6" s="2208"/>
      <c r="X6" s="2208"/>
      <c r="Y6" s="2208"/>
      <c r="Z6" s="2208"/>
      <c r="AA6" s="2208"/>
      <c r="AB6" s="2209"/>
      <c r="AC6" s="2207"/>
      <c r="AD6" s="2208"/>
      <c r="AE6" s="2208"/>
      <c r="AF6" s="2208"/>
      <c r="AG6" s="2208"/>
      <c r="AH6" s="2208"/>
      <c r="AI6" s="2208"/>
      <c r="AJ6" s="2209"/>
      <c r="AK6" s="1234" t="s">
        <v>487</v>
      </c>
      <c r="AM6" s="437"/>
      <c r="AN6" s="437" t="str">
        <f t="shared" si="0"/>
        <v>Группа потребителей</v>
      </c>
      <c r="AO6" s="437"/>
      <c r="AP6" s="437"/>
      <c r="AQ6" s="1082">
        <v>0</v>
      </c>
    </row>
    <row r="7" spans="1:43" ht="23.25" hidden="1" customHeight="1">
      <c r="A7" s="1290"/>
      <c r="B7" s="1290"/>
      <c r="C7" s="1290"/>
      <c r="D7" s="1290"/>
      <c r="E7" s="2220"/>
      <c r="F7" s="2220"/>
      <c r="G7" s="2220"/>
      <c r="H7" s="2220"/>
      <c r="I7" s="2222"/>
      <c r="J7" s="2222"/>
      <c r="K7" s="2221" t="e">
        <f>J6&amp;".1"</f>
        <v>#N/A</v>
      </c>
      <c r="L7" s="1291"/>
      <c r="P7" s="2223"/>
      <c r="Q7" s="2223"/>
      <c r="R7" s="294">
        <v>1</v>
      </c>
      <c r="S7" s="1352" t="e">
        <f>$K7</f>
        <v>#N/A</v>
      </c>
      <c r="T7" s="1364"/>
      <c r="U7" s="237"/>
      <c r="V7" s="688"/>
      <c r="W7" s="688"/>
      <c r="X7" s="1184"/>
      <c r="Y7" s="2224"/>
      <c r="Z7" s="2102" t="s">
        <v>65</v>
      </c>
      <c r="AA7" s="2224"/>
      <c r="AB7" s="2102" t="s">
        <v>65</v>
      </c>
      <c r="AC7" s="688"/>
      <c r="AD7" s="688"/>
      <c r="AE7" s="1184"/>
      <c r="AF7" s="2224"/>
      <c r="AG7" s="2102" t="s">
        <v>65</v>
      </c>
      <c r="AH7" s="2226"/>
      <c r="AI7" s="2102" t="s">
        <v>65</v>
      </c>
      <c r="AJ7" s="1365"/>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0"/>
      <c r="F8" s="2220"/>
      <c r="G8" s="2220"/>
      <c r="H8" s="2220"/>
      <c r="I8" s="2222"/>
      <c r="J8" s="2222"/>
      <c r="K8" s="2221"/>
      <c r="L8" s="1291"/>
      <c r="P8" s="2223"/>
      <c r="Q8" s="2223"/>
      <c r="R8" s="294"/>
      <c r="S8" s="1351"/>
      <c r="T8" s="237"/>
      <c r="U8" s="237"/>
      <c r="V8" s="262"/>
      <c r="W8" s="262"/>
      <c r="X8" s="265" t="str">
        <f>Y7&amp;"-"&amp;AA7</f>
        <v>-</v>
      </c>
      <c r="Y8" s="2225"/>
      <c r="Z8" s="2102"/>
      <c r="AA8" s="2225"/>
      <c r="AB8" s="2102"/>
      <c r="AC8" s="262"/>
      <c r="AD8" s="262"/>
      <c r="AE8" s="265" t="str">
        <f>AF7&amp;"-"&amp;AH7</f>
        <v>-</v>
      </c>
      <c r="AF8" s="2225"/>
      <c r="AG8" s="2102"/>
      <c r="AH8" s="2227"/>
      <c r="AI8" s="2102"/>
      <c r="AJ8" s="1366"/>
      <c r="AK8" s="2293"/>
      <c r="AM8" s="437"/>
      <c r="AN8" s="437" t="str">
        <f t="shared" si="0"/>
        <v/>
      </c>
      <c r="AO8" s="437"/>
      <c r="AP8" s="437"/>
      <c r="AQ8" s="1082">
        <v>0</v>
      </c>
    </row>
    <row r="9" spans="1:43" ht="21" hidden="1" customHeight="1">
      <c r="A9" s="1290"/>
      <c r="B9" s="1290"/>
      <c r="C9" s="1290"/>
      <c r="D9" s="1290"/>
      <c r="E9" s="2220"/>
      <c r="F9" s="2220"/>
      <c r="G9" s="2220"/>
      <c r="H9" s="2220"/>
      <c r="I9" s="2222"/>
      <c r="J9" s="2221"/>
      <c r="K9" s="1290"/>
      <c r="L9" s="1291"/>
      <c r="P9" s="2223"/>
      <c r="Q9" s="2223"/>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0"/>
      <c r="F10" s="2220"/>
      <c r="G10" s="2220"/>
      <c r="H10" s="2220"/>
      <c r="I10" s="2221"/>
      <c r="J10" s="1290"/>
      <c r="K10" s="1290"/>
      <c r="L10" s="1291"/>
      <c r="P10" s="2223"/>
      <c r="Q10" s="1349"/>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20"/>
      <c r="F11" s="2220"/>
      <c r="G11" s="2220"/>
      <c r="H11" s="2219"/>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0"/>
      <c r="F12" s="2219"/>
      <c r="G12" s="1241"/>
      <c r="H12" s="1241"/>
      <c r="I12" s="1241"/>
      <c r="J12" s="1241"/>
      <c r="K12" s="1241"/>
      <c r="L12" s="1353"/>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9"/>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7"/>
      <c r="AG15" s="2216" t="s">
        <v>65</v>
      </c>
      <c r="AH15" s="2217"/>
      <c r="AI15" s="2216" t="s">
        <v>65</v>
      </c>
      <c r="AQ15" s="1082">
        <v>0</v>
      </c>
    </row>
    <row r="16" spans="1:43" ht="14.25" hidden="1" customHeight="1">
      <c r="AC16" s="1287"/>
      <c r="AD16" s="1287"/>
      <c r="AE16" s="265" t="str">
        <f>AF15&amp;"-"&amp;AH15</f>
        <v>-</v>
      </c>
      <c r="AF16" s="2216"/>
      <c r="AG16" s="2216"/>
      <c r="AH16" s="2216"/>
      <c r="AI16" s="2216"/>
      <c r="AQ16" s="1082">
        <v>0</v>
      </c>
    </row>
    <row r="17" spans="1:43" ht="14.25" hidden="1" customHeight="1">
      <c r="AI17" s="264"/>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0"/>
      <c r="U24" s="2200"/>
      <c r="V24" s="2200"/>
      <c r="W24" s="2200"/>
      <c r="X24" s="2200"/>
      <c r="Y24" s="2200"/>
      <c r="Z24" s="2200"/>
      <c r="AA24" s="2200"/>
      <c r="AB24" s="2200"/>
      <c r="AC24" s="2200"/>
      <c r="AD24" s="2200"/>
      <c r="AE24" s="2200"/>
      <c r="AF24" s="2200"/>
      <c r="AG24" s="2200"/>
      <c r="AH24" s="2200"/>
      <c r="AI24" s="1170"/>
      <c r="AQ24" s="1082">
        <v>14</v>
      </c>
    </row>
    <row r="25" spans="1:43" ht="14.65" customHeight="1">
      <c r="Q25" s="313"/>
      <c r="R25" s="313"/>
      <c r="S25" s="2172" t="str">
        <f>IF(org=0,"Не определено",org)</f>
        <v>МУП "Михайловское водопроводно-канализационное хозяйство"</v>
      </c>
      <c r="T25" s="2172"/>
      <c r="U25" s="2172"/>
      <c r="V25" s="2172"/>
      <c r="W25" s="2172"/>
      <c r="X25" s="2172"/>
      <c r="Y25" s="2172"/>
      <c r="Z25" s="2172"/>
      <c r="AA25" s="2172"/>
      <c r="AB25" s="2172"/>
      <c r="AC25" s="2172"/>
      <c r="AD25" s="2172"/>
      <c r="AE25" s="2172"/>
      <c r="AF25" s="2172"/>
      <c r="AG25" s="2172"/>
      <c r="AH25" s="217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10" t="s">
        <v>42</v>
      </c>
      <c r="T27" s="2210"/>
      <c r="U27" s="1299"/>
      <c r="V27" s="2212" t="str">
        <f>IF(TITLE_NAME_OR_PR_CHANGE="",IF(TITLE_NAME_OR_PR="","",TITLE_NAME_OR_PR),TITLE_NAME_OR_PR_CHANGE)</f>
        <v/>
      </c>
      <c r="W27" s="2212"/>
      <c r="X27" s="2212"/>
      <c r="Y27" s="2212"/>
      <c r="Z27" s="2212"/>
      <c r="AA27" s="2212"/>
      <c r="AB27" s="263"/>
      <c r="AC27" s="2212" t="str">
        <f>IF(TITLE_NAME_OR_PR_CHANGE="",IF(TITLE_NAME_OR_PR="","",TITLE_NAME_OR_PR),TITLE_NAME_OR_PR_CHANGE)</f>
        <v/>
      </c>
      <c r="AD27" s="2212"/>
      <c r="AE27" s="2212"/>
      <c r="AF27" s="2212"/>
      <c r="AG27" s="2212"/>
      <c r="AH27" s="221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10" t="s">
        <v>425</v>
      </c>
      <c r="T28" s="2210"/>
      <c r="U28" s="1299"/>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10" t="s">
        <v>426</v>
      </c>
      <c r="T29" s="2210"/>
      <c r="U29" s="1299"/>
      <c r="V29" s="2212" t="str">
        <f>IF(TITLE_NUMBER_PR_CHANGE="",IF(TITLE_NUMBER_PR="","",TITLE_NUMBER_PR),TITLE_NUMBER_PR_CHANGE)</f>
        <v/>
      </c>
      <c r="W29" s="2212"/>
      <c r="X29" s="2212"/>
      <c r="Y29" s="2212"/>
      <c r="Z29" s="2212"/>
      <c r="AA29" s="2212"/>
      <c r="AB29" s="263"/>
      <c r="AC29" s="2212" t="str">
        <f>IF(TITLE_NUMBER_PR_CHANGE="",IF(TITLE_NUMBER_PR="","",TITLE_NUMBER_PR),TITLE_NUMBER_PR_CHANGE)</f>
        <v/>
      </c>
      <c r="AD29" s="2212"/>
      <c r="AE29" s="2212"/>
      <c r="AF29" s="2212"/>
      <c r="AG29" s="2212"/>
      <c r="AH29" s="221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10" t="s">
        <v>43</v>
      </c>
      <c r="T30" s="2210"/>
      <c r="U30" s="1299"/>
      <c r="V30" s="2212" t="str">
        <f>IF(TITLE_IST_PUB_CHANGE="",IF(TITLE_IST_PUB="","",TITLE_IST_PUB),TITLE_IST_PUB_CHANGE)</f>
        <v/>
      </c>
      <c r="W30" s="2212"/>
      <c r="X30" s="2212"/>
      <c r="Y30" s="2212"/>
      <c r="Z30" s="2212"/>
      <c r="AA30" s="2212"/>
      <c r="AB30" s="263"/>
      <c r="AC30" s="2212" t="str">
        <f>IF(TITLE_IST_PUB_CHANGE="",IF(TITLE_IST_PUB="","",TITLE_IST_PUB),TITLE_IST_PUB_CHANGE)</f>
        <v/>
      </c>
      <c r="AD30" s="2212"/>
      <c r="AE30" s="2212"/>
      <c r="AF30" s="2212"/>
      <c r="AG30" s="2212"/>
      <c r="AH30" s="221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10" t="s">
        <v>427</v>
      </c>
      <c r="T32" s="2210"/>
      <c r="U32" s="1299"/>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10" t="s">
        <v>428</v>
      </c>
      <c r="T33" s="2210"/>
      <c r="U33" s="1299"/>
      <c r="V33" s="2212" t="str">
        <f>IF(TITLE_NUMBER_PR_CHANGE="",IF(TITLE_NUMBER_PR="","",TITLE_NUMBER_PR),TITLE_NUMBER_PR_CHANGE)</f>
        <v/>
      </c>
      <c r="W33" s="2212"/>
      <c r="X33" s="2212"/>
      <c r="Y33" s="2212"/>
      <c r="Z33" s="2212"/>
      <c r="AA33" s="2212"/>
      <c r="AB33" s="263"/>
      <c r="AC33" s="2212" t="str">
        <f>IF(TITLE_NUMBER_PR_CHANGE="",IF(TITLE_NUMBER_PR="","",TITLE_NUMBER_PR),TITLE_NUMBER_PR_CHANGE)</f>
        <v/>
      </c>
      <c r="AD33" s="2212"/>
      <c r="AE33" s="2212"/>
      <c r="AF33" s="2212"/>
      <c r="AG33" s="2212"/>
      <c r="AH33" s="221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231"/>
      <c r="W35" s="2231"/>
      <c r="X35" s="2231"/>
      <c r="Y35" s="2231"/>
      <c r="Z35" s="2231"/>
      <c r="AA35" s="2231"/>
      <c r="AB35" s="2231"/>
      <c r="AC35" s="2231"/>
      <c r="AD35" s="2231"/>
      <c r="AE35" s="2231"/>
      <c r="AF35" s="2231"/>
      <c r="AG35" s="2231"/>
      <c r="AH35" s="2231"/>
      <c r="AI35" s="2231"/>
      <c r="AQ35" s="1082">
        <v>14</v>
      </c>
    </row>
    <row r="36" spans="1:43" ht="14.65" customHeight="1">
      <c r="Q36" s="313"/>
      <c r="R36" s="313"/>
      <c r="S36" s="2091" t="s">
        <v>302</v>
      </c>
      <c r="T36" s="2091"/>
      <c r="U36" s="2091"/>
      <c r="V36" s="2091"/>
      <c r="W36" s="2091"/>
      <c r="X36" s="2091"/>
      <c r="Y36" s="2091"/>
      <c r="Z36" s="2091"/>
      <c r="AA36" s="2091"/>
      <c r="AB36" s="2091"/>
      <c r="AC36" s="2091"/>
      <c r="AD36" s="2091"/>
      <c r="AE36" s="2091"/>
      <c r="AF36" s="2091"/>
      <c r="AG36" s="2091"/>
      <c r="AH36" s="2091"/>
      <c r="AI36" s="2091"/>
      <c r="AJ36" s="2091"/>
      <c r="AK36" s="2091" t="s">
        <v>303</v>
      </c>
      <c r="AQ36" s="1082">
        <v>14</v>
      </c>
    </row>
    <row r="37" spans="1:43" ht="14.65" customHeight="1">
      <c r="Q37" s="313"/>
      <c r="R37" s="313"/>
      <c r="S37" s="2232" t="s">
        <v>87</v>
      </c>
      <c r="T37" s="2180" t="s">
        <v>430</v>
      </c>
      <c r="U37" s="238"/>
      <c r="V37" s="2233" t="s">
        <v>431</v>
      </c>
      <c r="W37" s="2234"/>
      <c r="X37" s="2234"/>
      <c r="Y37" s="2234"/>
      <c r="Z37" s="2234"/>
      <c r="AA37" s="2235"/>
      <c r="AB37" s="2236" t="s">
        <v>432</v>
      </c>
      <c r="AC37" s="2233" t="s">
        <v>431</v>
      </c>
      <c r="AD37" s="2234"/>
      <c r="AE37" s="2234"/>
      <c r="AF37" s="2234"/>
      <c r="AG37" s="2234"/>
      <c r="AH37" s="2235"/>
      <c r="AI37" s="2236" t="s">
        <v>433</v>
      </c>
      <c r="AJ37" s="2239" t="s">
        <v>434</v>
      </c>
      <c r="AK37" s="2091"/>
      <c r="AQ37" s="1082">
        <v>14</v>
      </c>
    </row>
    <row r="38" spans="1:43" ht="35.65" customHeight="1">
      <c r="Q38" s="313"/>
      <c r="R38" s="313"/>
      <c r="S38" s="2232"/>
      <c r="T38" s="2180"/>
      <c r="U38" s="961"/>
      <c r="V38" s="1279" t="s">
        <v>491</v>
      </c>
      <c r="W38" s="2073" t="s">
        <v>437</v>
      </c>
      <c r="X38" s="2072"/>
      <c r="Y38" s="2073" t="s">
        <v>438</v>
      </c>
      <c r="Z38" s="2078"/>
      <c r="AA38" s="2072"/>
      <c r="AB38" s="2237"/>
      <c r="AC38" s="1279" t="s">
        <v>491</v>
      </c>
      <c r="AD38" s="2073" t="s">
        <v>437</v>
      </c>
      <c r="AE38" s="2072"/>
      <c r="AF38" s="2073" t="s">
        <v>438</v>
      </c>
      <c r="AG38" s="2078"/>
      <c r="AH38" s="2072"/>
      <c r="AI38" s="2237"/>
      <c r="AJ38" s="2240"/>
      <c r="AK38" s="2091"/>
      <c r="AQ38" s="1082">
        <v>34</v>
      </c>
    </row>
    <row r="39" spans="1:43" ht="35.65"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2"/>
      <c r="T39" s="2180"/>
      <c r="U39" s="239"/>
      <c r="V39" s="1279" t="s">
        <v>494</v>
      </c>
      <c r="W39" s="1149" t="s">
        <v>495</v>
      </c>
      <c r="X39" s="1149" t="s">
        <v>496</v>
      </c>
      <c r="Y39" s="1284" t="s">
        <v>448</v>
      </c>
      <c r="Z39" s="2185" t="s">
        <v>449</v>
      </c>
      <c r="AA39" s="2199"/>
      <c r="AB39" s="2238"/>
      <c r="AC39" s="1279" t="s">
        <v>494</v>
      </c>
      <c r="AD39" s="1149" t="s">
        <v>495</v>
      </c>
      <c r="AE39" s="1149" t="s">
        <v>496</v>
      </c>
      <c r="AF39" s="1284" t="s">
        <v>448</v>
      </c>
      <c r="AG39" s="2185" t="s">
        <v>449</v>
      </c>
      <c r="AH39" s="2199"/>
      <c r="AI39" s="2238"/>
      <c r="AJ39" s="2241"/>
      <c r="AK39" s="209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30">
        <f ca="1">OFFSET(Z40,0,-1)+1</f>
        <v>7</v>
      </c>
      <c r="AA40" s="2230"/>
      <c r="AB40" s="1280">
        <f ca="1">OFFSET(AB40,0,-2)+1</f>
        <v>8</v>
      </c>
      <c r="AC40" s="1280">
        <f ca="1">OFFSET(AC40,0,-1)+1</f>
        <v>9</v>
      </c>
      <c r="AD40" s="1280">
        <f ca="1">OFFSET(AD40,0,-1)+1</f>
        <v>10</v>
      </c>
      <c r="AE40" s="1280">
        <f ca="1">OFFSET(AE40,0,-1)+1</f>
        <v>11</v>
      </c>
      <c r="AF40" s="1280">
        <f ca="1">OFFSET(AF40,0,-1)+1</f>
        <v>12</v>
      </c>
      <c r="AG40" s="2230">
        <f ca="1">OFFSET(AG40,0,-1)+1</f>
        <v>13</v>
      </c>
      <c r="AH40" s="2230"/>
      <c r="AI40" s="1280">
        <f ca="1">OFFSET(AI40,0,-2)+1</f>
        <v>14</v>
      </c>
      <c r="AJ40" s="1172">
        <f ca="1">OFFSET(AJ40,0,-1)</f>
        <v>14</v>
      </c>
      <c r="AK40" s="1280">
        <f ca="1">OFFSET(AK40,0,-1)+1</f>
        <v>15</v>
      </c>
      <c r="AL40" s="448"/>
      <c r="AM40" s="448"/>
      <c r="AN40" s="448"/>
      <c r="AO40" s="448"/>
      <c r="AP40" s="448"/>
      <c r="AQ40" s="433">
        <v>0</v>
      </c>
    </row>
    <row r="41" spans="1:43" ht="24" customHeight="1">
      <c r="A41" s="1290" t="s">
        <v>228</v>
      </c>
      <c r="B41" s="1290"/>
      <c r="C41" s="1290"/>
      <c r="D41" s="1290"/>
      <c r="E41" s="2219">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220"/>
      <c r="F42" s="2219">
        <v>1</v>
      </c>
      <c r="G42" s="1290"/>
      <c r="H42" s="1290"/>
      <c r="I42" s="1290"/>
      <c r="J42" s="1290"/>
      <c r="K42" s="1290"/>
      <c r="L42" s="1291"/>
      <c r="M42" s="1292"/>
      <c r="N42" s="1292"/>
      <c r="O42" s="1292"/>
      <c r="P42" s="1283"/>
      <c r="Q42" s="289"/>
      <c r="R42" s="290"/>
      <c r="S42" s="1285"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5" t="s">
        <v>400</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220"/>
      <c r="F43" s="2220"/>
      <c r="G43" s="2219">
        <v>1</v>
      </c>
      <c r="H43" s="1290"/>
      <c r="I43" s="1290"/>
      <c r="J43" s="1290"/>
      <c r="K43" s="1290"/>
      <c r="L43" s="1291"/>
      <c r="M43" s="1292"/>
      <c r="N43" s="1292"/>
      <c r="O43" s="1292"/>
      <c r="P43" s="291"/>
      <c r="Q43" s="289"/>
      <c r="R43" s="290"/>
      <c r="S43" s="1285" t="str">
        <f>INDEX(PT_DIFFERENTIATION_NUM_CS,MATCH(C43,PT_DIFFERENTIATION_CS_ID,0))</f>
        <v>..</v>
      </c>
      <c r="T43" s="246" t="s">
        <v>483</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497</v>
      </c>
      <c r="E44" s="2220"/>
      <c r="F44" s="2220"/>
      <c r="G44" s="2220"/>
      <c r="H44" s="2220"/>
      <c r="I44" s="2221" t="str">
        <f>S43&amp;".1"</f>
        <v>...1</v>
      </c>
      <c r="J44" s="1290"/>
      <c r="K44" s="1290"/>
      <c r="L44" s="1291"/>
      <c r="P44" s="2223">
        <v>1</v>
      </c>
      <c r="Q44" s="1281"/>
      <c r="R44" s="293"/>
      <c r="S44" s="1285" t="str">
        <f>$I44</f>
        <v>...1</v>
      </c>
      <c r="T44" s="222" t="s">
        <v>485</v>
      </c>
      <c r="U44" s="237"/>
      <c r="V44" s="2287"/>
      <c r="W44" s="2288"/>
      <c r="X44" s="2288"/>
      <c r="Y44" s="2288"/>
      <c r="Z44" s="2288"/>
      <c r="AA44" s="2288"/>
      <c r="AB44" s="2289"/>
      <c r="AC44" s="2290"/>
      <c r="AD44" s="2291"/>
      <c r="AE44" s="2291"/>
      <c r="AF44" s="2291"/>
      <c r="AG44" s="2291"/>
      <c r="AH44" s="2291"/>
      <c r="AI44" s="2291"/>
      <c r="AJ44" s="2292"/>
      <c r="AK44" s="1185" t="s">
        <v>486</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497</v>
      </c>
      <c r="E45" s="2220"/>
      <c r="F45" s="2220"/>
      <c r="G45" s="2220"/>
      <c r="H45" s="2220"/>
      <c r="I45" s="2222"/>
      <c r="J45" s="2221" t="str">
        <f>I44&amp;".1"</f>
        <v>...1.1</v>
      </c>
      <c r="K45" s="1290"/>
      <c r="L45" s="1291" t="s">
        <v>408</v>
      </c>
      <c r="P45" s="2223"/>
      <c r="Q45" s="2223">
        <v>1</v>
      </c>
      <c r="R45" s="294"/>
      <c r="S45" s="1285" t="str">
        <f>$J45</f>
        <v>...1.1</v>
      </c>
      <c r="T45" s="223" t="s">
        <v>409</v>
      </c>
      <c r="U45" s="237"/>
      <c r="V45" s="2207"/>
      <c r="W45" s="2208"/>
      <c r="X45" s="2208"/>
      <c r="Y45" s="2208"/>
      <c r="Z45" s="2208"/>
      <c r="AA45" s="2208"/>
      <c r="AB45" s="2209"/>
      <c r="AC45" s="2207"/>
      <c r="AD45" s="2208"/>
      <c r="AE45" s="2208"/>
      <c r="AF45" s="2208"/>
      <c r="AG45" s="2208"/>
      <c r="AH45" s="2208"/>
      <c r="AI45" s="2208"/>
      <c r="AJ45" s="2209"/>
      <c r="AK45" s="1234" t="s">
        <v>487</v>
      </c>
      <c r="AM45" s="437"/>
      <c r="AN45" s="437" t="str">
        <f t="shared" si="1"/>
        <v>Группа потребителей</v>
      </c>
      <c r="AO45" s="437"/>
      <c r="AP45" s="437"/>
      <c r="AQ45" s="1082">
        <v>23</v>
      </c>
    </row>
    <row r="46" spans="1:43" ht="24" customHeight="1">
      <c r="A46" s="1290" t="s">
        <v>228</v>
      </c>
      <c r="B46" s="1290" t="s">
        <v>229</v>
      </c>
      <c r="C46" s="1290" t="s">
        <v>230</v>
      </c>
      <c r="D46" s="1290" t="s">
        <v>497</v>
      </c>
      <c r="E46" s="2220"/>
      <c r="F46" s="2220"/>
      <c r="G46" s="2220"/>
      <c r="H46" s="2220"/>
      <c r="I46" s="2222"/>
      <c r="J46" s="2222"/>
      <c r="K46" s="2221" t="str">
        <f>J45&amp;".1"</f>
        <v>...1.1.1</v>
      </c>
      <c r="L46" s="1291"/>
      <c r="P46" s="2223"/>
      <c r="Q46" s="2223"/>
      <c r="R46" s="294">
        <v>1</v>
      </c>
      <c r="S46" s="1285" t="str">
        <f>$K46</f>
        <v>...1.1.1</v>
      </c>
      <c r="T46" s="1364"/>
      <c r="U46" s="237"/>
      <c r="V46" s="1287"/>
      <c r="W46" s="1287"/>
      <c r="X46" s="1288"/>
      <c r="Y46" s="2217"/>
      <c r="Z46" s="2216" t="s">
        <v>65</v>
      </c>
      <c r="AA46" s="2217"/>
      <c r="AB46" s="2216" t="s">
        <v>65</v>
      </c>
      <c r="AC46" s="688"/>
      <c r="AD46" s="688"/>
      <c r="AE46" s="1184"/>
      <c r="AF46" s="2224"/>
      <c r="AG46" s="2102" t="s">
        <v>65</v>
      </c>
      <c r="AH46" s="2226"/>
      <c r="AI46" s="2102" t="s">
        <v>19</v>
      </c>
      <c r="AJ46" s="1365"/>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497</v>
      </c>
      <c r="E47" s="2220"/>
      <c r="F47" s="2220"/>
      <c r="G47" s="2220"/>
      <c r="H47" s="2220"/>
      <c r="I47" s="2222"/>
      <c r="J47" s="2222"/>
      <c r="K47" s="2221"/>
      <c r="L47" s="1291"/>
      <c r="P47" s="2223"/>
      <c r="Q47" s="2223"/>
      <c r="R47" s="294"/>
      <c r="S47" s="1286"/>
      <c r="T47" s="237"/>
      <c r="U47" s="237"/>
      <c r="V47" s="1287"/>
      <c r="W47" s="1287"/>
      <c r="X47" s="265" t="str">
        <f>Y46&amp;"-"&amp;AA46</f>
        <v>-</v>
      </c>
      <c r="Y47" s="2216"/>
      <c r="Z47" s="2216"/>
      <c r="AA47" s="2216"/>
      <c r="AB47" s="2216"/>
      <c r="AC47" s="262"/>
      <c r="AD47" s="262"/>
      <c r="AE47" s="265" t="str">
        <f>AF46&amp;"-"&amp;AH46</f>
        <v>-</v>
      </c>
      <c r="AF47" s="2225"/>
      <c r="AG47" s="2102"/>
      <c r="AH47" s="2227"/>
      <c r="AI47" s="2102"/>
      <c r="AJ47" s="1366"/>
      <c r="AK47" s="2293"/>
      <c r="AM47" s="437"/>
      <c r="AN47" s="437" t="str">
        <f t="shared" si="1"/>
        <v/>
      </c>
      <c r="AO47" s="437"/>
      <c r="AP47" s="437"/>
      <c r="AQ47" s="1082">
        <v>0</v>
      </c>
    </row>
    <row r="48" spans="1:43" ht="21" customHeight="1">
      <c r="A48" s="1290" t="s">
        <v>228</v>
      </c>
      <c r="B48" s="1290" t="s">
        <v>229</v>
      </c>
      <c r="C48" s="1290" t="s">
        <v>230</v>
      </c>
      <c r="D48" s="1290" t="s">
        <v>497</v>
      </c>
      <c r="E48" s="2220"/>
      <c r="F48" s="2220"/>
      <c r="G48" s="2220"/>
      <c r="H48" s="2220"/>
      <c r="I48" s="2222"/>
      <c r="J48" s="2221"/>
      <c r="K48" s="1290"/>
      <c r="L48" s="1291"/>
      <c r="P48" s="2223"/>
      <c r="Q48" s="2223"/>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228</v>
      </c>
      <c r="B49" s="1290" t="s">
        <v>229</v>
      </c>
      <c r="C49" s="1290" t="s">
        <v>230</v>
      </c>
      <c r="D49" s="1290" t="s">
        <v>497</v>
      </c>
      <c r="E49" s="2220"/>
      <c r="F49" s="2220"/>
      <c r="G49" s="2220"/>
      <c r="H49" s="2220"/>
      <c r="I49" s="2221"/>
      <c r="J49" s="1290"/>
      <c r="K49" s="1290"/>
      <c r="L49" s="1291"/>
      <c r="P49" s="2223"/>
      <c r="Q49" s="1281"/>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228</v>
      </c>
      <c r="B50" s="1290" t="s">
        <v>229</v>
      </c>
      <c r="C50" s="1290" t="s">
        <v>230</v>
      </c>
      <c r="D50" s="1290" t="s">
        <v>497</v>
      </c>
      <c r="E50" s="2220"/>
      <c r="F50" s="2220"/>
      <c r="G50" s="2220"/>
      <c r="H50" s="2219"/>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220"/>
      <c r="F51" s="2219"/>
      <c r="G51" s="1241"/>
      <c r="H51" s="1241"/>
      <c r="I51" s="1241"/>
      <c r="J51" s="1241"/>
      <c r="K51" s="1241"/>
      <c r="L51" s="1353"/>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219"/>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8"/>
      <c r="U55" s="2218"/>
      <c r="V55" s="2218"/>
      <c r="W55" s="2218"/>
      <c r="X55" s="2218"/>
      <c r="Y55" s="2218"/>
      <c r="Z55" s="2218"/>
      <c r="AA55" s="2218"/>
      <c r="AB55" s="2218"/>
      <c r="AC55" s="2218"/>
      <c r="AD55" s="2218"/>
      <c r="AE55" s="2218"/>
      <c r="AF55" s="2218"/>
      <c r="AG55" s="2218"/>
      <c r="AH55" s="2218"/>
      <c r="AI55" s="2218"/>
      <c r="AJ55" s="2218"/>
      <c r="AK55" s="2218"/>
      <c r="AQ55" s="1082">
        <v>14</v>
      </c>
    </row>
    <row r="56" spans="1:43" ht="14.65" customHeight="1">
      <c r="O56" s="474"/>
      <c r="AQ56" s="1082">
        <v>14</v>
      </c>
    </row>
    <row r="57" spans="1:43" ht="14.65" customHeight="1">
      <c r="O57" s="474"/>
      <c r="S57" s="1180"/>
      <c r="T57" s="2218"/>
      <c r="U57" s="2218"/>
      <c r="V57" s="2218"/>
      <c r="W57" s="2218"/>
      <c r="X57" s="2218"/>
      <c r="Y57" s="2218"/>
      <c r="Z57" s="2218"/>
      <c r="AA57" s="2218"/>
      <c r="AB57" s="2218"/>
      <c r="AC57" s="2218"/>
      <c r="AD57" s="2218"/>
      <c r="AE57" s="2218"/>
      <c r="AF57" s="2218"/>
      <c r="AG57" s="2218"/>
      <c r="AH57" s="2218"/>
      <c r="AI57" s="2218"/>
      <c r="AJ57" s="2218"/>
      <c r="AK57" s="221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9">
        <v>1</v>
      </c>
      <c r="F2" s="1290"/>
      <c r="G2" s="1290"/>
      <c r="H2" s="1290"/>
      <c r="I2" s="1290"/>
      <c r="J2" s="1290"/>
      <c r="K2" s="1290"/>
      <c r="L2" s="1291"/>
      <c r="M2" s="1292"/>
      <c r="N2" s="1292"/>
      <c r="O2" s="1292"/>
      <c r="P2" s="298"/>
      <c r="Q2" s="297"/>
      <c r="R2" s="292"/>
      <c r="S2" s="1384"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0"/>
      <c r="F3" s="2219">
        <v>1</v>
      </c>
      <c r="G3" s="1290"/>
      <c r="H3" s="1290"/>
      <c r="I3" s="1290"/>
      <c r="J3" s="1290"/>
      <c r="K3" s="1290"/>
      <c r="L3" s="1291"/>
      <c r="M3" s="1292"/>
      <c r="N3" s="1292"/>
      <c r="O3" s="1292"/>
      <c r="P3" s="1380"/>
      <c r="Q3" s="289"/>
      <c r="R3" s="290"/>
      <c r="S3" s="1384"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5" t="s">
        <v>400</v>
      </c>
      <c r="AM3" s="437"/>
      <c r="AN3" s="437" t="str">
        <f t="shared" si="0"/>
        <v>Территория действия тарифа</v>
      </c>
      <c r="AO3" s="437"/>
      <c r="AP3" s="437"/>
      <c r="AQ3" s="1082">
        <v>0</v>
      </c>
    </row>
    <row r="4" spans="1:43" ht="23.25" hidden="1" customHeight="1">
      <c r="A4" s="1290"/>
      <c r="B4" s="1290"/>
      <c r="C4" s="1290"/>
      <c r="D4" s="1290"/>
      <c r="E4" s="2220"/>
      <c r="F4" s="2220"/>
      <c r="G4" s="2219">
        <v>1</v>
      </c>
      <c r="H4" s="1290"/>
      <c r="I4" s="1290"/>
      <c r="J4" s="1290"/>
      <c r="K4" s="1290"/>
      <c r="L4" s="1291"/>
      <c r="M4" s="1292"/>
      <c r="N4" s="1292"/>
      <c r="O4" s="1292"/>
      <c r="P4" s="291"/>
      <c r="Q4" s="289"/>
      <c r="R4" s="290"/>
      <c r="S4" s="1384" t="e">
        <f>INDEX(PT_DIFFERENTIATION_NUM_CS,MATCH(C4,PT_DIFFERENTIATION_CS_ID,0))</f>
        <v>#N/A</v>
      </c>
      <c r="T4" s="246" t="s">
        <v>483</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0"/>
      <c r="F5" s="2220"/>
      <c r="G5" s="2220"/>
      <c r="H5" s="2220"/>
      <c r="I5" s="2221" t="e">
        <f>S4&amp;".1"</f>
        <v>#N/A</v>
      </c>
      <c r="J5" s="1290"/>
      <c r="K5" s="1290"/>
      <c r="L5" s="1291"/>
      <c r="P5" s="2223">
        <v>1</v>
      </c>
      <c r="Q5" s="1377"/>
      <c r="R5" s="293"/>
      <c r="S5" s="1384" t="e">
        <f>$I5</f>
        <v>#N/A</v>
      </c>
      <c r="T5" s="222" t="s">
        <v>485</v>
      </c>
      <c r="U5" s="237"/>
      <c r="V5" s="2287"/>
      <c r="W5" s="2288"/>
      <c r="X5" s="2288"/>
      <c r="Y5" s="2288"/>
      <c r="Z5" s="2288"/>
      <c r="AA5" s="2288"/>
      <c r="AB5" s="2289"/>
      <c r="AC5" s="2290"/>
      <c r="AD5" s="2291"/>
      <c r="AE5" s="2291"/>
      <c r="AF5" s="2291"/>
      <c r="AG5" s="2291"/>
      <c r="AH5" s="2291"/>
      <c r="AI5" s="2291"/>
      <c r="AJ5" s="2292"/>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0"/>
      <c r="F6" s="2220"/>
      <c r="G6" s="2220"/>
      <c r="H6" s="2220"/>
      <c r="I6" s="2222"/>
      <c r="J6" s="2221" t="e">
        <f>I5&amp;".1"</f>
        <v>#N/A</v>
      </c>
      <c r="K6" s="1290"/>
      <c r="L6" s="1291" t="s">
        <v>408</v>
      </c>
      <c r="P6" s="2223"/>
      <c r="Q6" s="2223">
        <v>1</v>
      </c>
      <c r="R6" s="294"/>
      <c r="S6" s="1384" t="e">
        <f>$J6</f>
        <v>#N/A</v>
      </c>
      <c r="T6" s="223" t="s">
        <v>409</v>
      </c>
      <c r="U6" s="237"/>
      <c r="V6" s="2207"/>
      <c r="W6" s="2208"/>
      <c r="X6" s="2208"/>
      <c r="Y6" s="2208"/>
      <c r="Z6" s="2208"/>
      <c r="AA6" s="2208"/>
      <c r="AB6" s="2209"/>
      <c r="AC6" s="2207"/>
      <c r="AD6" s="2208"/>
      <c r="AE6" s="2208"/>
      <c r="AF6" s="2208"/>
      <c r="AG6" s="2208"/>
      <c r="AH6" s="2208"/>
      <c r="AI6" s="2208"/>
      <c r="AJ6" s="2209"/>
      <c r="AK6" s="1234" t="s">
        <v>487</v>
      </c>
      <c r="AM6" s="437"/>
      <c r="AN6" s="437" t="str">
        <f t="shared" si="0"/>
        <v>Группа потребителей</v>
      </c>
      <c r="AO6" s="437"/>
      <c r="AP6" s="437"/>
      <c r="AQ6" s="1082">
        <v>0</v>
      </c>
    </row>
    <row r="7" spans="1:43" ht="23.25" hidden="1" customHeight="1">
      <c r="A7" s="1290"/>
      <c r="B7" s="1290"/>
      <c r="C7" s="1290"/>
      <c r="D7" s="1290"/>
      <c r="E7" s="2220"/>
      <c r="F7" s="2220"/>
      <c r="G7" s="2220"/>
      <c r="H7" s="2220"/>
      <c r="I7" s="2222"/>
      <c r="J7" s="2222"/>
      <c r="K7" s="2221" t="e">
        <f>J6&amp;".1"</f>
        <v>#N/A</v>
      </c>
      <c r="L7" s="1291"/>
      <c r="P7" s="2223"/>
      <c r="Q7" s="2223"/>
      <c r="R7" s="294">
        <v>1</v>
      </c>
      <c r="S7" s="1384" t="e">
        <f>$K7</f>
        <v>#N/A</v>
      </c>
      <c r="T7" s="1364"/>
      <c r="U7" s="237"/>
      <c r="V7" s="688"/>
      <c r="W7" s="688"/>
      <c r="X7" s="1184"/>
      <c r="Y7" s="2224"/>
      <c r="Z7" s="2102" t="s">
        <v>65</v>
      </c>
      <c r="AA7" s="2224"/>
      <c r="AB7" s="2102" t="s">
        <v>65</v>
      </c>
      <c r="AC7" s="688"/>
      <c r="AD7" s="688"/>
      <c r="AE7" s="1184"/>
      <c r="AF7" s="2224"/>
      <c r="AG7" s="2102" t="s">
        <v>65</v>
      </c>
      <c r="AH7" s="2226"/>
      <c r="AI7" s="2102" t="s">
        <v>65</v>
      </c>
      <c r="AJ7" s="1365"/>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0"/>
      <c r="F8" s="2220"/>
      <c r="G8" s="2220"/>
      <c r="H8" s="2220"/>
      <c r="I8" s="2222"/>
      <c r="J8" s="2222"/>
      <c r="K8" s="2221"/>
      <c r="L8" s="1291"/>
      <c r="P8" s="2223"/>
      <c r="Q8" s="2223"/>
      <c r="R8" s="294"/>
      <c r="S8" s="1383"/>
      <c r="T8" s="237"/>
      <c r="U8" s="237"/>
      <c r="V8" s="262"/>
      <c r="W8" s="262"/>
      <c r="X8" s="265" t="str">
        <f>Y7&amp;"-"&amp;AA7</f>
        <v>-</v>
      </c>
      <c r="Y8" s="2225"/>
      <c r="Z8" s="2102"/>
      <c r="AA8" s="2225"/>
      <c r="AB8" s="2102"/>
      <c r="AC8" s="262"/>
      <c r="AD8" s="262"/>
      <c r="AE8" s="265" t="str">
        <f>AF7&amp;"-"&amp;AH7</f>
        <v>-</v>
      </c>
      <c r="AF8" s="2225"/>
      <c r="AG8" s="2102"/>
      <c r="AH8" s="2227"/>
      <c r="AI8" s="2102"/>
      <c r="AJ8" s="1366"/>
      <c r="AK8" s="2293"/>
      <c r="AM8" s="437"/>
      <c r="AN8" s="437" t="str">
        <f t="shared" si="0"/>
        <v/>
      </c>
      <c r="AO8" s="437"/>
      <c r="AP8" s="437"/>
      <c r="AQ8" s="1082">
        <v>0</v>
      </c>
    </row>
    <row r="9" spans="1:43" ht="21" hidden="1" customHeight="1">
      <c r="A9" s="1290"/>
      <c r="B9" s="1290"/>
      <c r="C9" s="1290"/>
      <c r="D9" s="1290"/>
      <c r="E9" s="2220"/>
      <c r="F9" s="2220"/>
      <c r="G9" s="2220"/>
      <c r="H9" s="2220"/>
      <c r="I9" s="2222"/>
      <c r="J9" s="2221"/>
      <c r="K9" s="1290"/>
      <c r="L9" s="1291"/>
      <c r="P9" s="2223"/>
      <c r="Q9" s="2223"/>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0"/>
      <c r="F10" s="2220"/>
      <c r="G10" s="2220"/>
      <c r="H10" s="2220"/>
      <c r="I10" s="2221"/>
      <c r="J10" s="1290"/>
      <c r="K10" s="1290"/>
      <c r="L10" s="1291"/>
      <c r="P10" s="2223"/>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0"/>
      <c r="F11" s="2220"/>
      <c r="G11" s="2220"/>
      <c r="H11" s="2219"/>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0"/>
      <c r="F12" s="2219"/>
      <c r="G12" s="1241"/>
      <c r="H12" s="1241"/>
      <c r="I12" s="1241"/>
      <c r="J12" s="1241"/>
      <c r="K12" s="1241"/>
      <c r="L12" s="1385"/>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9"/>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7"/>
      <c r="AG15" s="2216" t="s">
        <v>65</v>
      </c>
      <c r="AH15" s="2217"/>
      <c r="AI15" s="2216" t="s">
        <v>65</v>
      </c>
      <c r="AQ15" s="1082">
        <v>0</v>
      </c>
    </row>
    <row r="16" spans="1:43" ht="14.25" hidden="1" customHeight="1">
      <c r="AC16" s="1287"/>
      <c r="AD16" s="1287"/>
      <c r="AE16" s="265" t="str">
        <f>AF15&amp;"-"&amp;AH15</f>
        <v>-</v>
      </c>
      <c r="AF16" s="2216"/>
      <c r="AG16" s="2216"/>
      <c r="AH16" s="2216"/>
      <c r="AI16" s="2216"/>
      <c r="AQ16" s="1082">
        <v>0</v>
      </c>
    </row>
    <row r="17" spans="1:43" ht="14.25" hidden="1" customHeight="1">
      <c r="AI17" s="264"/>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0"/>
      <c r="U24" s="2200"/>
      <c r="V24" s="2200"/>
      <c r="W24" s="2200"/>
      <c r="X24" s="2200"/>
      <c r="Y24" s="2200"/>
      <c r="Z24" s="2200"/>
      <c r="AA24" s="2200"/>
      <c r="AB24" s="2200"/>
      <c r="AC24" s="2200"/>
      <c r="AD24" s="2200"/>
      <c r="AE24" s="2200"/>
      <c r="AF24" s="2200"/>
      <c r="AG24" s="2200"/>
      <c r="AH24" s="2200"/>
      <c r="AI24" s="1170"/>
      <c r="AQ24" s="1082">
        <v>14</v>
      </c>
    </row>
    <row r="25" spans="1:43" ht="14.65" customHeight="1">
      <c r="Q25" s="313"/>
      <c r="R25" s="313"/>
      <c r="S25" s="2172" t="str">
        <f>IF(org=0,"Не определено",org)</f>
        <v>МУП "Михайловское водопроводно-канализационное хозяйство"</v>
      </c>
      <c r="T25" s="2172"/>
      <c r="U25" s="2172"/>
      <c r="V25" s="2172"/>
      <c r="W25" s="2172"/>
      <c r="X25" s="2172"/>
      <c r="Y25" s="2172"/>
      <c r="Z25" s="2172"/>
      <c r="AA25" s="2172"/>
      <c r="AB25" s="2172"/>
      <c r="AC25" s="2172"/>
      <c r="AD25" s="2172"/>
      <c r="AE25" s="2172"/>
      <c r="AF25" s="2172"/>
      <c r="AG25" s="2172"/>
      <c r="AH25" s="217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10" t="s">
        <v>42</v>
      </c>
      <c r="T27" s="2210"/>
      <c r="U27" s="1299"/>
      <c r="V27" s="2212" t="str">
        <f>IF(TITLE_NAME_OR_PR_CHANGE="",IF(TITLE_NAME_OR_PR="","",TITLE_NAME_OR_PR),TITLE_NAME_OR_PR_CHANGE)</f>
        <v/>
      </c>
      <c r="W27" s="2212"/>
      <c r="X27" s="2212"/>
      <c r="Y27" s="2212"/>
      <c r="Z27" s="2212"/>
      <c r="AA27" s="2212"/>
      <c r="AB27" s="263"/>
      <c r="AC27" s="2212" t="str">
        <f>IF(TITLE_NAME_OR_PR_CHANGE="",IF(TITLE_NAME_OR_PR="","",TITLE_NAME_OR_PR),TITLE_NAME_OR_PR_CHANGE)</f>
        <v/>
      </c>
      <c r="AD27" s="2212"/>
      <c r="AE27" s="2212"/>
      <c r="AF27" s="2212"/>
      <c r="AG27" s="2212"/>
      <c r="AH27" s="221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10" t="s">
        <v>425</v>
      </c>
      <c r="T28" s="2210"/>
      <c r="U28" s="1299"/>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10" t="s">
        <v>426</v>
      </c>
      <c r="T29" s="2210"/>
      <c r="U29" s="1299"/>
      <c r="V29" s="2212" t="str">
        <f>IF(TITLE_NUMBER_PR_CHANGE="",IF(TITLE_NUMBER_PR="","",TITLE_NUMBER_PR),TITLE_NUMBER_PR_CHANGE)</f>
        <v/>
      </c>
      <c r="W29" s="2212"/>
      <c r="X29" s="2212"/>
      <c r="Y29" s="2212"/>
      <c r="Z29" s="2212"/>
      <c r="AA29" s="2212"/>
      <c r="AB29" s="263"/>
      <c r="AC29" s="2212" t="str">
        <f>IF(TITLE_NUMBER_PR_CHANGE="",IF(TITLE_NUMBER_PR="","",TITLE_NUMBER_PR),TITLE_NUMBER_PR_CHANGE)</f>
        <v/>
      </c>
      <c r="AD29" s="2212"/>
      <c r="AE29" s="2212"/>
      <c r="AF29" s="2212"/>
      <c r="AG29" s="2212"/>
      <c r="AH29" s="221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10" t="s">
        <v>43</v>
      </c>
      <c r="T30" s="2210"/>
      <c r="U30" s="1299"/>
      <c r="V30" s="2212" t="str">
        <f>IF(TITLE_IST_PUB_CHANGE="",IF(TITLE_IST_PUB="","",TITLE_IST_PUB),TITLE_IST_PUB_CHANGE)</f>
        <v/>
      </c>
      <c r="W30" s="2212"/>
      <c r="X30" s="2212"/>
      <c r="Y30" s="2212"/>
      <c r="Z30" s="2212"/>
      <c r="AA30" s="2212"/>
      <c r="AB30" s="263"/>
      <c r="AC30" s="2212" t="str">
        <f>IF(TITLE_IST_PUB_CHANGE="",IF(TITLE_IST_PUB="","",TITLE_IST_PUB),TITLE_IST_PUB_CHANGE)</f>
        <v/>
      </c>
      <c r="AD30" s="2212"/>
      <c r="AE30" s="2212"/>
      <c r="AF30" s="2212"/>
      <c r="AG30" s="2212"/>
      <c r="AH30" s="221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10" t="s">
        <v>427</v>
      </c>
      <c r="T32" s="2210"/>
      <c r="U32" s="1299"/>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10" t="s">
        <v>428</v>
      </c>
      <c r="T33" s="2210"/>
      <c r="U33" s="1299"/>
      <c r="V33" s="2212" t="str">
        <f>IF(TITLE_NUMBER_PR_CHANGE="",IF(TITLE_NUMBER_PR="","",TITLE_NUMBER_PR),TITLE_NUMBER_PR_CHANGE)</f>
        <v/>
      </c>
      <c r="W33" s="2212"/>
      <c r="X33" s="2212"/>
      <c r="Y33" s="2212"/>
      <c r="Z33" s="2212"/>
      <c r="AA33" s="2212"/>
      <c r="AB33" s="263"/>
      <c r="AC33" s="2212" t="str">
        <f>IF(TITLE_NUMBER_PR_CHANGE="",IF(TITLE_NUMBER_PR="","",TITLE_NUMBER_PR),TITLE_NUMBER_PR_CHANGE)</f>
        <v/>
      </c>
      <c r="AD33" s="2212"/>
      <c r="AE33" s="2212"/>
      <c r="AF33" s="2212"/>
      <c r="AG33" s="2212"/>
      <c r="AH33" s="221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231"/>
      <c r="W35" s="2231"/>
      <c r="X35" s="2231"/>
      <c r="Y35" s="2231"/>
      <c r="Z35" s="2231"/>
      <c r="AA35" s="2231"/>
      <c r="AB35" s="2231"/>
      <c r="AC35" s="2231"/>
      <c r="AD35" s="2231"/>
      <c r="AE35" s="2231"/>
      <c r="AF35" s="2231"/>
      <c r="AG35" s="2231"/>
      <c r="AH35" s="2231"/>
      <c r="AI35" s="2231"/>
      <c r="AQ35" s="1082">
        <v>14</v>
      </c>
    </row>
    <row r="36" spans="1:43" ht="14.65" customHeight="1">
      <c r="Q36" s="313"/>
      <c r="R36" s="313"/>
      <c r="S36" s="2091" t="s">
        <v>302</v>
      </c>
      <c r="T36" s="2091"/>
      <c r="U36" s="2091"/>
      <c r="V36" s="2091"/>
      <c r="W36" s="2091"/>
      <c r="X36" s="2091"/>
      <c r="Y36" s="2091"/>
      <c r="Z36" s="2091"/>
      <c r="AA36" s="2091"/>
      <c r="AB36" s="2091"/>
      <c r="AC36" s="2091"/>
      <c r="AD36" s="2091"/>
      <c r="AE36" s="2091"/>
      <c r="AF36" s="2091"/>
      <c r="AG36" s="2091"/>
      <c r="AH36" s="2091"/>
      <c r="AI36" s="2091"/>
      <c r="AJ36" s="2091"/>
      <c r="AK36" s="2091" t="s">
        <v>303</v>
      </c>
      <c r="AQ36" s="1082">
        <v>14</v>
      </c>
    </row>
    <row r="37" spans="1:43" ht="14.65" customHeight="1">
      <c r="Q37" s="313"/>
      <c r="R37" s="313"/>
      <c r="S37" s="2232" t="s">
        <v>87</v>
      </c>
      <c r="T37" s="2180" t="s">
        <v>430</v>
      </c>
      <c r="U37" s="238"/>
      <c r="V37" s="2233" t="s">
        <v>431</v>
      </c>
      <c r="W37" s="2234"/>
      <c r="X37" s="2234"/>
      <c r="Y37" s="2234"/>
      <c r="Z37" s="2234"/>
      <c r="AA37" s="2235"/>
      <c r="AB37" s="2236" t="s">
        <v>432</v>
      </c>
      <c r="AC37" s="2233" t="s">
        <v>431</v>
      </c>
      <c r="AD37" s="2234"/>
      <c r="AE37" s="2234"/>
      <c r="AF37" s="2234"/>
      <c r="AG37" s="2234"/>
      <c r="AH37" s="2235"/>
      <c r="AI37" s="2236" t="s">
        <v>433</v>
      </c>
      <c r="AJ37" s="2239" t="s">
        <v>434</v>
      </c>
      <c r="AK37" s="2091"/>
      <c r="AQ37" s="1082">
        <v>14</v>
      </c>
    </row>
    <row r="38" spans="1:43" ht="35.65" customHeight="1">
      <c r="Q38" s="313"/>
      <c r="R38" s="313"/>
      <c r="S38" s="2232"/>
      <c r="T38" s="2180"/>
      <c r="U38" s="961"/>
      <c r="V38" s="1379" t="s">
        <v>491</v>
      </c>
      <c r="W38" s="2073" t="s">
        <v>437</v>
      </c>
      <c r="X38" s="2072"/>
      <c r="Y38" s="2073" t="s">
        <v>438</v>
      </c>
      <c r="Z38" s="2078"/>
      <c r="AA38" s="2072"/>
      <c r="AB38" s="2237"/>
      <c r="AC38" s="1379" t="s">
        <v>491</v>
      </c>
      <c r="AD38" s="2073" t="s">
        <v>437</v>
      </c>
      <c r="AE38" s="2072"/>
      <c r="AF38" s="2073" t="s">
        <v>438</v>
      </c>
      <c r="AG38" s="2078"/>
      <c r="AH38" s="2072"/>
      <c r="AI38" s="2237"/>
      <c r="AJ38" s="2240"/>
      <c r="AK38" s="2091"/>
      <c r="AQ38" s="1082">
        <v>34</v>
      </c>
    </row>
    <row r="39" spans="1:43" ht="35.65"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2"/>
      <c r="T39" s="2180"/>
      <c r="U39" s="239"/>
      <c r="V39" s="1379" t="s">
        <v>494</v>
      </c>
      <c r="W39" s="1149" t="s">
        <v>495</v>
      </c>
      <c r="X39" s="1149" t="s">
        <v>496</v>
      </c>
      <c r="Y39" s="1382" t="s">
        <v>448</v>
      </c>
      <c r="Z39" s="2185" t="s">
        <v>449</v>
      </c>
      <c r="AA39" s="2199"/>
      <c r="AB39" s="2238"/>
      <c r="AC39" s="1379" t="s">
        <v>494</v>
      </c>
      <c r="AD39" s="1149" t="s">
        <v>495</v>
      </c>
      <c r="AE39" s="1149" t="s">
        <v>496</v>
      </c>
      <c r="AF39" s="1382" t="s">
        <v>448</v>
      </c>
      <c r="AG39" s="2185" t="s">
        <v>449</v>
      </c>
      <c r="AH39" s="2199"/>
      <c r="AI39" s="2238"/>
      <c r="AJ39" s="2241"/>
      <c r="AK39" s="209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30">
        <f ca="1">OFFSET(Z40,0,-1)+1</f>
        <v>7</v>
      </c>
      <c r="AA40" s="2230"/>
      <c r="AB40" s="1378">
        <f ca="1">OFFSET(AB40,0,-2)+1</f>
        <v>8</v>
      </c>
      <c r="AC40" s="1378">
        <f ca="1">OFFSET(AC40,0,-1)+1</f>
        <v>9</v>
      </c>
      <c r="AD40" s="1378">
        <f ca="1">OFFSET(AD40,0,-1)+1</f>
        <v>10</v>
      </c>
      <c r="AE40" s="1378">
        <f ca="1">OFFSET(AE40,0,-1)+1</f>
        <v>11</v>
      </c>
      <c r="AF40" s="1378">
        <f ca="1">OFFSET(AF40,0,-1)+1</f>
        <v>12</v>
      </c>
      <c r="AG40" s="2230">
        <f ca="1">OFFSET(AG40,0,-1)+1</f>
        <v>13</v>
      </c>
      <c r="AH40" s="2230"/>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21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220"/>
      <c r="F42" s="2219">
        <v>1</v>
      </c>
      <c r="G42" s="1290"/>
      <c r="H42" s="1290"/>
      <c r="I42" s="1290"/>
      <c r="J42" s="1290"/>
      <c r="K42" s="1290"/>
      <c r="L42" s="1291"/>
      <c r="M42" s="1292"/>
      <c r="N42" s="1292"/>
      <c r="O42" s="1292"/>
      <c r="P42" s="1380"/>
      <c r="Q42" s="289"/>
      <c r="R42" s="290"/>
      <c r="S42" s="1384"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5" t="s">
        <v>400</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220"/>
      <c r="F43" s="2220"/>
      <c r="G43" s="2219">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498</v>
      </c>
      <c r="E44" s="2220"/>
      <c r="F44" s="2220"/>
      <c r="G44" s="2220"/>
      <c r="H44" s="2220"/>
      <c r="I44" s="2221" t="str">
        <f>S43&amp;".1"</f>
        <v>...1</v>
      </c>
      <c r="J44" s="1290"/>
      <c r="K44" s="1290"/>
      <c r="L44" s="1291"/>
      <c r="P44" s="2223">
        <v>1</v>
      </c>
      <c r="Q44" s="1377"/>
      <c r="R44" s="293"/>
      <c r="S44" s="1384" t="str">
        <f>$I44</f>
        <v>...1</v>
      </c>
      <c r="T44" s="222" t="s">
        <v>485</v>
      </c>
      <c r="U44" s="237"/>
      <c r="V44" s="2287"/>
      <c r="W44" s="2288"/>
      <c r="X44" s="2288"/>
      <c r="Y44" s="2288"/>
      <c r="Z44" s="2288"/>
      <c r="AA44" s="2288"/>
      <c r="AB44" s="2289"/>
      <c r="AC44" s="2290"/>
      <c r="AD44" s="2291"/>
      <c r="AE44" s="2291"/>
      <c r="AF44" s="2291"/>
      <c r="AG44" s="2291"/>
      <c r="AH44" s="2291"/>
      <c r="AI44" s="2291"/>
      <c r="AJ44" s="2292"/>
      <c r="AK44" s="1185" t="s">
        <v>486</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498</v>
      </c>
      <c r="E45" s="2220"/>
      <c r="F45" s="2220"/>
      <c r="G45" s="2220"/>
      <c r="H45" s="2220"/>
      <c r="I45" s="2222"/>
      <c r="J45" s="2221" t="str">
        <f>I44&amp;".1"</f>
        <v>...1.1</v>
      </c>
      <c r="K45" s="1290"/>
      <c r="L45" s="1291" t="s">
        <v>408</v>
      </c>
      <c r="P45" s="2223"/>
      <c r="Q45" s="2223">
        <v>1</v>
      </c>
      <c r="R45" s="294"/>
      <c r="S45" s="1384" t="str">
        <f>$J45</f>
        <v>...1.1</v>
      </c>
      <c r="T45" s="223" t="s">
        <v>409</v>
      </c>
      <c r="U45" s="237"/>
      <c r="V45" s="2207"/>
      <c r="W45" s="2208"/>
      <c r="X45" s="2208"/>
      <c r="Y45" s="2208"/>
      <c r="Z45" s="2208"/>
      <c r="AA45" s="2208"/>
      <c r="AB45" s="2209"/>
      <c r="AC45" s="2207"/>
      <c r="AD45" s="2208"/>
      <c r="AE45" s="2208"/>
      <c r="AF45" s="2208"/>
      <c r="AG45" s="2208"/>
      <c r="AH45" s="2208"/>
      <c r="AI45" s="2208"/>
      <c r="AJ45" s="2209"/>
      <c r="AK45" s="1234" t="s">
        <v>487</v>
      </c>
      <c r="AM45" s="437"/>
      <c r="AN45" s="437" t="str">
        <f t="shared" si="1"/>
        <v>Группа потребителей</v>
      </c>
      <c r="AO45" s="437"/>
      <c r="AP45" s="437"/>
      <c r="AQ45" s="1082">
        <v>23</v>
      </c>
    </row>
    <row r="46" spans="1:43" ht="24" customHeight="1">
      <c r="A46" s="1290" t="s">
        <v>233</v>
      </c>
      <c r="B46" s="1290" t="s">
        <v>234</v>
      </c>
      <c r="C46" s="1290" t="s">
        <v>235</v>
      </c>
      <c r="D46" s="1290" t="s">
        <v>498</v>
      </c>
      <c r="E46" s="2220"/>
      <c r="F46" s="2220"/>
      <c r="G46" s="2220"/>
      <c r="H46" s="2220"/>
      <c r="I46" s="2222"/>
      <c r="J46" s="2222"/>
      <c r="K46" s="2221" t="str">
        <f>J45&amp;".1"</f>
        <v>...1.1.1</v>
      </c>
      <c r="L46" s="1291"/>
      <c r="P46" s="2223"/>
      <c r="Q46" s="2223"/>
      <c r="R46" s="294">
        <v>1</v>
      </c>
      <c r="S46" s="1384" t="str">
        <f>$K46</f>
        <v>...1.1.1</v>
      </c>
      <c r="T46" s="1364"/>
      <c r="U46" s="237"/>
      <c r="V46" s="688"/>
      <c r="W46" s="688"/>
      <c r="X46" s="1184"/>
      <c r="Y46" s="2224"/>
      <c r="Z46" s="2102" t="s">
        <v>65</v>
      </c>
      <c r="AA46" s="2224"/>
      <c r="AB46" s="2102" t="s">
        <v>65</v>
      </c>
      <c r="AC46" s="688"/>
      <c r="AD46" s="688"/>
      <c r="AE46" s="1184"/>
      <c r="AF46" s="2224"/>
      <c r="AG46" s="2102" t="s">
        <v>65</v>
      </c>
      <c r="AH46" s="2226"/>
      <c r="AI46" s="2102" t="s">
        <v>65</v>
      </c>
      <c r="AJ46" s="1365"/>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498</v>
      </c>
      <c r="E47" s="2220"/>
      <c r="F47" s="2220"/>
      <c r="G47" s="2220"/>
      <c r="H47" s="2220"/>
      <c r="I47" s="2222"/>
      <c r="J47" s="2222"/>
      <c r="K47" s="2221"/>
      <c r="L47" s="1291"/>
      <c r="P47" s="2223"/>
      <c r="Q47" s="2223"/>
      <c r="R47" s="294"/>
      <c r="S47" s="1383"/>
      <c r="T47" s="237"/>
      <c r="U47" s="237"/>
      <c r="V47" s="262"/>
      <c r="W47" s="262"/>
      <c r="X47" s="265" t="str">
        <f>Y46&amp;"-"&amp;AA46</f>
        <v>-</v>
      </c>
      <c r="Y47" s="2225"/>
      <c r="Z47" s="2102"/>
      <c r="AA47" s="2225"/>
      <c r="AB47" s="2102"/>
      <c r="AC47" s="262"/>
      <c r="AD47" s="262"/>
      <c r="AE47" s="265" t="str">
        <f>AF46&amp;"-"&amp;AH46</f>
        <v>-</v>
      </c>
      <c r="AF47" s="2225"/>
      <c r="AG47" s="2102"/>
      <c r="AH47" s="2227"/>
      <c r="AI47" s="2102"/>
      <c r="AJ47" s="1366"/>
      <c r="AK47" s="2293"/>
      <c r="AM47" s="437"/>
      <c r="AN47" s="437" t="str">
        <f t="shared" si="1"/>
        <v/>
      </c>
      <c r="AO47" s="437"/>
      <c r="AP47" s="437"/>
      <c r="AQ47" s="1082">
        <v>0</v>
      </c>
    </row>
    <row r="48" spans="1:43" ht="21" customHeight="1">
      <c r="A48" s="1290" t="s">
        <v>233</v>
      </c>
      <c r="B48" s="1290" t="s">
        <v>234</v>
      </c>
      <c r="C48" s="1290" t="s">
        <v>235</v>
      </c>
      <c r="D48" s="1290" t="s">
        <v>498</v>
      </c>
      <c r="E48" s="2220"/>
      <c r="F48" s="2220"/>
      <c r="G48" s="2220"/>
      <c r="H48" s="2220"/>
      <c r="I48" s="2222"/>
      <c r="J48" s="2221"/>
      <c r="K48" s="1290"/>
      <c r="L48" s="1291"/>
      <c r="P48" s="2223"/>
      <c r="Q48" s="2223"/>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233</v>
      </c>
      <c r="B49" s="1290" t="s">
        <v>234</v>
      </c>
      <c r="C49" s="1290" t="s">
        <v>235</v>
      </c>
      <c r="D49" s="1290" t="s">
        <v>498</v>
      </c>
      <c r="E49" s="2220"/>
      <c r="F49" s="2220"/>
      <c r="G49" s="2220"/>
      <c r="H49" s="2220"/>
      <c r="I49" s="2221"/>
      <c r="J49" s="1290"/>
      <c r="K49" s="1290"/>
      <c r="L49" s="1291"/>
      <c r="P49" s="2223"/>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233</v>
      </c>
      <c r="B50" s="1290" t="s">
        <v>234</v>
      </c>
      <c r="C50" s="1290" t="s">
        <v>235</v>
      </c>
      <c r="D50" s="1290" t="s">
        <v>498</v>
      </c>
      <c r="E50" s="2220"/>
      <c r="F50" s="2220"/>
      <c r="G50" s="2220"/>
      <c r="H50" s="2219"/>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220"/>
      <c r="F51" s="2219"/>
      <c r="G51" s="1241"/>
      <c r="H51" s="1241"/>
      <c r="I51" s="1241"/>
      <c r="J51" s="1241"/>
      <c r="K51" s="1241"/>
      <c r="L51" s="1385"/>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219"/>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8"/>
      <c r="U55" s="2218"/>
      <c r="V55" s="2218"/>
      <c r="W55" s="2218"/>
      <c r="X55" s="2218"/>
      <c r="Y55" s="2218"/>
      <c r="Z55" s="2218"/>
      <c r="AA55" s="2218"/>
      <c r="AB55" s="2218"/>
      <c r="AC55" s="2218"/>
      <c r="AD55" s="2218"/>
      <c r="AE55" s="2218"/>
      <c r="AF55" s="2218"/>
      <c r="AG55" s="2218"/>
      <c r="AH55" s="2218"/>
      <c r="AI55" s="2218"/>
      <c r="AJ55" s="2218"/>
      <c r="AK55" s="2218"/>
      <c r="AQ55" s="1082">
        <v>14</v>
      </c>
    </row>
    <row r="56" spans="1:43" ht="14.65" customHeight="1">
      <c r="O56" s="474"/>
      <c r="AQ56" s="1082">
        <v>14</v>
      </c>
    </row>
    <row r="57" spans="1:43" ht="14.65" customHeight="1">
      <c r="O57" s="474"/>
      <c r="S57" s="1180"/>
      <c r="T57" s="2218"/>
      <c r="U57" s="2218"/>
      <c r="V57" s="2218"/>
      <c r="W57" s="2218"/>
      <c r="X57" s="2218"/>
      <c r="Y57" s="2218"/>
      <c r="Z57" s="2218"/>
      <c r="AA57" s="2218"/>
      <c r="AB57" s="2218"/>
      <c r="AC57" s="2218"/>
      <c r="AD57" s="2218"/>
      <c r="AE57" s="2218"/>
      <c r="AF57" s="2218"/>
      <c r="AG57" s="2218"/>
      <c r="AH57" s="2218"/>
      <c r="AI57" s="2218"/>
      <c r="AJ57" s="2218"/>
      <c r="AK57" s="221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9">
        <v>1</v>
      </c>
      <c r="F2" s="1290"/>
      <c r="G2" s="1290"/>
      <c r="H2" s="1290"/>
      <c r="I2" s="1290"/>
      <c r="J2" s="1290"/>
      <c r="K2" s="1290"/>
      <c r="L2" s="1291"/>
      <c r="M2" s="1292"/>
      <c r="N2" s="1292"/>
      <c r="O2" s="1292"/>
      <c r="P2" s="298"/>
      <c r="Q2" s="297"/>
      <c r="R2" s="292"/>
      <c r="S2" s="1384"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0"/>
      <c r="F3" s="2219">
        <v>1</v>
      </c>
      <c r="G3" s="1290"/>
      <c r="H3" s="1290"/>
      <c r="I3" s="1290"/>
      <c r="J3" s="1290"/>
      <c r="K3" s="1290"/>
      <c r="L3" s="1291"/>
      <c r="M3" s="1292"/>
      <c r="N3" s="1292"/>
      <c r="O3" s="1292"/>
      <c r="P3" s="1380"/>
      <c r="Q3" s="289"/>
      <c r="R3" s="290"/>
      <c r="S3" s="1384"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5" t="s">
        <v>400</v>
      </c>
      <c r="AM3" s="437"/>
      <c r="AN3" s="437" t="str">
        <f t="shared" si="0"/>
        <v>Территория действия тарифа</v>
      </c>
      <c r="AO3" s="437"/>
      <c r="AP3" s="437"/>
      <c r="AQ3" s="1082">
        <v>0</v>
      </c>
    </row>
    <row r="4" spans="1:43" ht="23.25" hidden="1" customHeight="1">
      <c r="A4" s="1290"/>
      <c r="B4" s="1290"/>
      <c r="C4" s="1290"/>
      <c r="D4" s="1290"/>
      <c r="E4" s="2220"/>
      <c r="F4" s="2220"/>
      <c r="G4" s="2219">
        <v>1</v>
      </c>
      <c r="H4" s="1290"/>
      <c r="I4" s="1290"/>
      <c r="J4" s="1290"/>
      <c r="K4" s="1290"/>
      <c r="L4" s="1291"/>
      <c r="M4" s="1292"/>
      <c r="N4" s="1292"/>
      <c r="O4" s="1292"/>
      <c r="P4" s="291"/>
      <c r="Q4" s="289"/>
      <c r="R4" s="290"/>
      <c r="S4" s="1384" t="e">
        <f>INDEX(PT_DIFFERENTIATION_NUM_CS,MATCH(C4,PT_DIFFERENTIATION_CS_ID,0))</f>
        <v>#N/A</v>
      </c>
      <c r="T4" s="246" t="s">
        <v>483</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0"/>
      <c r="F5" s="2220"/>
      <c r="G5" s="2220"/>
      <c r="H5" s="2220"/>
      <c r="I5" s="2221" t="e">
        <f>S4&amp;".1"</f>
        <v>#N/A</v>
      </c>
      <c r="J5" s="1290"/>
      <c r="K5" s="1290"/>
      <c r="L5" s="1291"/>
      <c r="P5" s="2223">
        <v>1</v>
      </c>
      <c r="Q5" s="1377"/>
      <c r="R5" s="293"/>
      <c r="S5" s="1384" t="e">
        <f>$I5</f>
        <v>#N/A</v>
      </c>
      <c r="T5" s="222" t="s">
        <v>485</v>
      </c>
      <c r="U5" s="237"/>
      <c r="V5" s="2287"/>
      <c r="W5" s="2288"/>
      <c r="X5" s="2288"/>
      <c r="Y5" s="2288"/>
      <c r="Z5" s="2288"/>
      <c r="AA5" s="2288"/>
      <c r="AB5" s="2289"/>
      <c r="AC5" s="2290"/>
      <c r="AD5" s="2291"/>
      <c r="AE5" s="2291"/>
      <c r="AF5" s="2291"/>
      <c r="AG5" s="2291"/>
      <c r="AH5" s="2291"/>
      <c r="AI5" s="2291"/>
      <c r="AJ5" s="2292"/>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0"/>
      <c r="F6" s="2220"/>
      <c r="G6" s="2220"/>
      <c r="H6" s="2220"/>
      <c r="I6" s="2222"/>
      <c r="J6" s="2221" t="e">
        <f>I5&amp;".1"</f>
        <v>#N/A</v>
      </c>
      <c r="K6" s="1290"/>
      <c r="L6" s="1291" t="s">
        <v>408</v>
      </c>
      <c r="P6" s="2223"/>
      <c r="Q6" s="2223">
        <v>1</v>
      </c>
      <c r="R6" s="294"/>
      <c r="S6" s="1384" t="e">
        <f>$J6</f>
        <v>#N/A</v>
      </c>
      <c r="T6" s="223" t="s">
        <v>409</v>
      </c>
      <c r="U6" s="237"/>
      <c r="V6" s="2207"/>
      <c r="W6" s="2208"/>
      <c r="X6" s="2208"/>
      <c r="Y6" s="2208"/>
      <c r="Z6" s="2208"/>
      <c r="AA6" s="2208"/>
      <c r="AB6" s="2209"/>
      <c r="AC6" s="2207"/>
      <c r="AD6" s="2208"/>
      <c r="AE6" s="2208"/>
      <c r="AF6" s="2208"/>
      <c r="AG6" s="2208"/>
      <c r="AH6" s="2208"/>
      <c r="AI6" s="2208"/>
      <c r="AJ6" s="2209"/>
      <c r="AK6" s="1234" t="s">
        <v>487</v>
      </c>
      <c r="AM6" s="437"/>
      <c r="AN6" s="437" t="str">
        <f t="shared" si="0"/>
        <v>Группа потребителей</v>
      </c>
      <c r="AO6" s="437"/>
      <c r="AP6" s="437"/>
      <c r="AQ6" s="1082">
        <v>0</v>
      </c>
    </row>
    <row r="7" spans="1:43" ht="23.25" hidden="1" customHeight="1">
      <c r="A7" s="1290"/>
      <c r="B7" s="1290"/>
      <c r="C7" s="1290"/>
      <c r="D7" s="1290"/>
      <c r="E7" s="2220"/>
      <c r="F7" s="2220"/>
      <c r="G7" s="2220"/>
      <c r="H7" s="2220"/>
      <c r="I7" s="2222"/>
      <c r="J7" s="2222"/>
      <c r="K7" s="2221" t="e">
        <f>J6&amp;".1"</f>
        <v>#N/A</v>
      </c>
      <c r="L7" s="1291"/>
      <c r="P7" s="2223"/>
      <c r="Q7" s="2223"/>
      <c r="R7" s="294">
        <v>1</v>
      </c>
      <c r="S7" s="1384" t="e">
        <f>$K7</f>
        <v>#N/A</v>
      </c>
      <c r="T7" s="1364"/>
      <c r="U7" s="237"/>
      <c r="V7" s="688"/>
      <c r="W7" s="688"/>
      <c r="X7" s="1184"/>
      <c r="Y7" s="2224"/>
      <c r="Z7" s="2102" t="s">
        <v>65</v>
      </c>
      <c r="AA7" s="2224"/>
      <c r="AB7" s="2102" t="s">
        <v>65</v>
      </c>
      <c r="AC7" s="688"/>
      <c r="AD7" s="688"/>
      <c r="AE7" s="1184"/>
      <c r="AF7" s="2224"/>
      <c r="AG7" s="2102" t="s">
        <v>65</v>
      </c>
      <c r="AH7" s="2226"/>
      <c r="AI7" s="2102" t="s">
        <v>65</v>
      </c>
      <c r="AJ7" s="1365"/>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0"/>
      <c r="F8" s="2220"/>
      <c r="G8" s="2220"/>
      <c r="H8" s="2220"/>
      <c r="I8" s="2222"/>
      <c r="J8" s="2222"/>
      <c r="K8" s="2221"/>
      <c r="L8" s="1291"/>
      <c r="P8" s="2223"/>
      <c r="Q8" s="2223"/>
      <c r="R8" s="294"/>
      <c r="S8" s="1383"/>
      <c r="T8" s="237"/>
      <c r="U8" s="237"/>
      <c r="V8" s="262"/>
      <c r="W8" s="262"/>
      <c r="X8" s="265" t="str">
        <f>Y7&amp;"-"&amp;AA7</f>
        <v>-</v>
      </c>
      <c r="Y8" s="2225"/>
      <c r="Z8" s="2102"/>
      <c r="AA8" s="2225"/>
      <c r="AB8" s="2102"/>
      <c r="AC8" s="262"/>
      <c r="AD8" s="262"/>
      <c r="AE8" s="265" t="str">
        <f>AF7&amp;"-"&amp;AH7</f>
        <v>-</v>
      </c>
      <c r="AF8" s="2225"/>
      <c r="AG8" s="2102"/>
      <c r="AH8" s="2227"/>
      <c r="AI8" s="2102"/>
      <c r="AJ8" s="1366"/>
      <c r="AK8" s="2293"/>
      <c r="AM8" s="437"/>
      <c r="AN8" s="437" t="str">
        <f t="shared" si="0"/>
        <v/>
      </c>
      <c r="AO8" s="437"/>
      <c r="AP8" s="437"/>
      <c r="AQ8" s="1082">
        <v>0</v>
      </c>
    </row>
    <row r="9" spans="1:43" ht="21" hidden="1" customHeight="1">
      <c r="A9" s="1290"/>
      <c r="B9" s="1290"/>
      <c r="C9" s="1290"/>
      <c r="D9" s="1290"/>
      <c r="E9" s="2220"/>
      <c r="F9" s="2220"/>
      <c r="G9" s="2220"/>
      <c r="H9" s="2220"/>
      <c r="I9" s="2222"/>
      <c r="J9" s="2221"/>
      <c r="K9" s="1290"/>
      <c r="L9" s="1291"/>
      <c r="P9" s="2223"/>
      <c r="Q9" s="2223"/>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0"/>
      <c r="F10" s="2220"/>
      <c r="G10" s="2220"/>
      <c r="H10" s="2220"/>
      <c r="I10" s="2221"/>
      <c r="J10" s="1290"/>
      <c r="K10" s="1290"/>
      <c r="L10" s="1291"/>
      <c r="P10" s="2223"/>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0"/>
      <c r="F11" s="2220"/>
      <c r="G11" s="2220"/>
      <c r="H11" s="2219"/>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0"/>
      <c r="F12" s="2219"/>
      <c r="G12" s="1241"/>
      <c r="H12" s="1241"/>
      <c r="I12" s="1241"/>
      <c r="J12" s="1241"/>
      <c r="K12" s="1241"/>
      <c r="L12" s="1385"/>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9"/>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7"/>
      <c r="AG15" s="2216" t="s">
        <v>65</v>
      </c>
      <c r="AH15" s="2217"/>
      <c r="AI15" s="2216" t="s">
        <v>65</v>
      </c>
      <c r="AQ15" s="1082">
        <v>0</v>
      </c>
    </row>
    <row r="16" spans="1:43" ht="14.25" hidden="1" customHeight="1">
      <c r="AC16" s="1287"/>
      <c r="AD16" s="1287"/>
      <c r="AE16" s="265" t="str">
        <f>AF15&amp;"-"&amp;AH15</f>
        <v>-</v>
      </c>
      <c r="AF16" s="2216"/>
      <c r="AG16" s="2216"/>
      <c r="AH16" s="2216"/>
      <c r="AI16" s="2216"/>
      <c r="AQ16" s="1082">
        <v>0</v>
      </c>
    </row>
    <row r="17" spans="1:43" ht="14.25" hidden="1" customHeight="1">
      <c r="AI17" s="264"/>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0"/>
      <c r="U24" s="2200"/>
      <c r="V24" s="2200"/>
      <c r="W24" s="2200"/>
      <c r="X24" s="2200"/>
      <c r="Y24" s="2200"/>
      <c r="Z24" s="2200"/>
      <c r="AA24" s="2200"/>
      <c r="AB24" s="2200"/>
      <c r="AC24" s="2200"/>
      <c r="AD24" s="2200"/>
      <c r="AE24" s="2200"/>
      <c r="AF24" s="2200"/>
      <c r="AG24" s="2200"/>
      <c r="AH24" s="2200"/>
      <c r="AI24" s="1170"/>
      <c r="AQ24" s="1082">
        <v>14</v>
      </c>
    </row>
    <row r="25" spans="1:43" ht="14.65" customHeight="1">
      <c r="Q25" s="313"/>
      <c r="R25" s="313"/>
      <c r="S25" s="2172" t="str">
        <f>IF(org=0,"Не определено",org)</f>
        <v>МУП "Михайловское водопроводно-канализационное хозяйство"</v>
      </c>
      <c r="T25" s="2172"/>
      <c r="U25" s="2172"/>
      <c r="V25" s="2172"/>
      <c r="W25" s="2172"/>
      <c r="X25" s="2172"/>
      <c r="Y25" s="2172"/>
      <c r="Z25" s="2172"/>
      <c r="AA25" s="2172"/>
      <c r="AB25" s="2172"/>
      <c r="AC25" s="2172"/>
      <c r="AD25" s="2172"/>
      <c r="AE25" s="2172"/>
      <c r="AF25" s="2172"/>
      <c r="AG25" s="2172"/>
      <c r="AH25" s="217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10" t="s">
        <v>42</v>
      </c>
      <c r="T27" s="2210"/>
      <c r="U27" s="1299"/>
      <c r="V27" s="2212" t="str">
        <f>IF(TITLE_NAME_OR_PR_CHANGE="",IF(TITLE_NAME_OR_PR="","",TITLE_NAME_OR_PR),TITLE_NAME_OR_PR_CHANGE)</f>
        <v/>
      </c>
      <c r="W27" s="2212"/>
      <c r="X27" s="2212"/>
      <c r="Y27" s="2212"/>
      <c r="Z27" s="2212"/>
      <c r="AA27" s="2212"/>
      <c r="AB27" s="263"/>
      <c r="AC27" s="2212" t="str">
        <f>IF(TITLE_NAME_OR_PR_CHANGE="",IF(TITLE_NAME_OR_PR="","",TITLE_NAME_OR_PR),TITLE_NAME_OR_PR_CHANGE)</f>
        <v/>
      </c>
      <c r="AD27" s="2212"/>
      <c r="AE27" s="2212"/>
      <c r="AF27" s="2212"/>
      <c r="AG27" s="2212"/>
      <c r="AH27" s="221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10" t="s">
        <v>425</v>
      </c>
      <c r="T28" s="2210"/>
      <c r="U28" s="1299"/>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10" t="s">
        <v>426</v>
      </c>
      <c r="T29" s="2210"/>
      <c r="U29" s="1299"/>
      <c r="V29" s="2212" t="str">
        <f>IF(TITLE_NUMBER_PR_CHANGE="",IF(TITLE_NUMBER_PR="","",TITLE_NUMBER_PR),TITLE_NUMBER_PR_CHANGE)</f>
        <v/>
      </c>
      <c r="W29" s="2212"/>
      <c r="X29" s="2212"/>
      <c r="Y29" s="2212"/>
      <c r="Z29" s="2212"/>
      <c r="AA29" s="2212"/>
      <c r="AB29" s="263"/>
      <c r="AC29" s="2212" t="str">
        <f>IF(TITLE_NUMBER_PR_CHANGE="",IF(TITLE_NUMBER_PR="","",TITLE_NUMBER_PR),TITLE_NUMBER_PR_CHANGE)</f>
        <v/>
      </c>
      <c r="AD29" s="2212"/>
      <c r="AE29" s="2212"/>
      <c r="AF29" s="2212"/>
      <c r="AG29" s="2212"/>
      <c r="AH29" s="221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10" t="s">
        <v>43</v>
      </c>
      <c r="T30" s="2210"/>
      <c r="U30" s="1299"/>
      <c r="V30" s="2212" t="str">
        <f>IF(TITLE_IST_PUB_CHANGE="",IF(TITLE_IST_PUB="","",TITLE_IST_PUB),TITLE_IST_PUB_CHANGE)</f>
        <v/>
      </c>
      <c r="W30" s="2212"/>
      <c r="X30" s="2212"/>
      <c r="Y30" s="2212"/>
      <c r="Z30" s="2212"/>
      <c r="AA30" s="2212"/>
      <c r="AB30" s="263"/>
      <c r="AC30" s="2212" t="str">
        <f>IF(TITLE_IST_PUB_CHANGE="",IF(TITLE_IST_PUB="","",TITLE_IST_PUB),TITLE_IST_PUB_CHANGE)</f>
        <v/>
      </c>
      <c r="AD30" s="2212"/>
      <c r="AE30" s="2212"/>
      <c r="AF30" s="2212"/>
      <c r="AG30" s="2212"/>
      <c r="AH30" s="221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10" t="s">
        <v>427</v>
      </c>
      <c r="T32" s="2210"/>
      <c r="U32" s="1299"/>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10" t="s">
        <v>428</v>
      </c>
      <c r="T33" s="2210"/>
      <c r="U33" s="1299"/>
      <c r="V33" s="2212" t="str">
        <f>IF(TITLE_NUMBER_PR_CHANGE="",IF(TITLE_NUMBER_PR="","",TITLE_NUMBER_PR),TITLE_NUMBER_PR_CHANGE)</f>
        <v/>
      </c>
      <c r="W33" s="2212"/>
      <c r="X33" s="2212"/>
      <c r="Y33" s="2212"/>
      <c r="Z33" s="2212"/>
      <c r="AA33" s="2212"/>
      <c r="AB33" s="263"/>
      <c r="AC33" s="2212" t="str">
        <f>IF(TITLE_NUMBER_PR_CHANGE="",IF(TITLE_NUMBER_PR="","",TITLE_NUMBER_PR),TITLE_NUMBER_PR_CHANGE)</f>
        <v/>
      </c>
      <c r="AD33" s="2212"/>
      <c r="AE33" s="2212"/>
      <c r="AF33" s="2212"/>
      <c r="AG33" s="2212"/>
      <c r="AH33" s="221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231"/>
      <c r="W35" s="2231"/>
      <c r="X35" s="2231"/>
      <c r="Y35" s="2231"/>
      <c r="Z35" s="2231"/>
      <c r="AA35" s="2231"/>
      <c r="AB35" s="2231"/>
      <c r="AC35" s="2231"/>
      <c r="AD35" s="2231"/>
      <c r="AE35" s="2231"/>
      <c r="AF35" s="2231"/>
      <c r="AG35" s="2231"/>
      <c r="AH35" s="2231"/>
      <c r="AI35" s="2231"/>
      <c r="AQ35" s="1082">
        <v>14</v>
      </c>
    </row>
    <row r="36" spans="1:43" ht="14.65" customHeight="1">
      <c r="Q36" s="313"/>
      <c r="R36" s="313"/>
      <c r="S36" s="2091" t="s">
        <v>302</v>
      </c>
      <c r="T36" s="2091"/>
      <c r="U36" s="2091"/>
      <c r="V36" s="2091"/>
      <c r="W36" s="2091"/>
      <c r="X36" s="2091"/>
      <c r="Y36" s="2091"/>
      <c r="Z36" s="2091"/>
      <c r="AA36" s="2091"/>
      <c r="AB36" s="2091"/>
      <c r="AC36" s="2091"/>
      <c r="AD36" s="2091"/>
      <c r="AE36" s="2091"/>
      <c r="AF36" s="2091"/>
      <c r="AG36" s="2091"/>
      <c r="AH36" s="2091"/>
      <c r="AI36" s="2091"/>
      <c r="AJ36" s="2091"/>
      <c r="AK36" s="2091" t="s">
        <v>303</v>
      </c>
      <c r="AQ36" s="1082">
        <v>14</v>
      </c>
    </row>
    <row r="37" spans="1:43" ht="14.65" customHeight="1">
      <c r="Q37" s="313"/>
      <c r="R37" s="313"/>
      <c r="S37" s="2232" t="s">
        <v>87</v>
      </c>
      <c r="T37" s="2180" t="s">
        <v>430</v>
      </c>
      <c r="U37" s="238"/>
      <c r="V37" s="2233" t="s">
        <v>431</v>
      </c>
      <c r="W37" s="2234"/>
      <c r="X37" s="2234"/>
      <c r="Y37" s="2234"/>
      <c r="Z37" s="2234"/>
      <c r="AA37" s="2235"/>
      <c r="AB37" s="2236" t="s">
        <v>432</v>
      </c>
      <c r="AC37" s="2233" t="s">
        <v>431</v>
      </c>
      <c r="AD37" s="2234"/>
      <c r="AE37" s="2234"/>
      <c r="AF37" s="2234"/>
      <c r="AG37" s="2234"/>
      <c r="AH37" s="2235"/>
      <c r="AI37" s="2236" t="s">
        <v>433</v>
      </c>
      <c r="AJ37" s="2239" t="s">
        <v>434</v>
      </c>
      <c r="AK37" s="2091"/>
      <c r="AQ37" s="1082">
        <v>14</v>
      </c>
    </row>
    <row r="38" spans="1:43" ht="35.65" customHeight="1">
      <c r="Q38" s="313"/>
      <c r="R38" s="313"/>
      <c r="S38" s="2232"/>
      <c r="T38" s="2180"/>
      <c r="U38" s="961"/>
      <c r="V38" s="1379" t="s">
        <v>491</v>
      </c>
      <c r="W38" s="2073" t="s">
        <v>437</v>
      </c>
      <c r="X38" s="2072"/>
      <c r="Y38" s="2073" t="s">
        <v>438</v>
      </c>
      <c r="Z38" s="2078"/>
      <c r="AA38" s="2072"/>
      <c r="AB38" s="2237"/>
      <c r="AC38" s="1379" t="s">
        <v>491</v>
      </c>
      <c r="AD38" s="2073" t="s">
        <v>437</v>
      </c>
      <c r="AE38" s="2072"/>
      <c r="AF38" s="2073" t="s">
        <v>438</v>
      </c>
      <c r="AG38" s="2078"/>
      <c r="AH38" s="2072"/>
      <c r="AI38" s="2237"/>
      <c r="AJ38" s="2240"/>
      <c r="AK38" s="2091"/>
      <c r="AQ38" s="1082">
        <v>34</v>
      </c>
    </row>
    <row r="39" spans="1:43" ht="35.65"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2"/>
      <c r="T39" s="2180"/>
      <c r="U39" s="239"/>
      <c r="V39" s="1379" t="s">
        <v>494</v>
      </c>
      <c r="W39" s="1149" t="s">
        <v>495</v>
      </c>
      <c r="X39" s="1149" t="s">
        <v>496</v>
      </c>
      <c r="Y39" s="1382" t="s">
        <v>448</v>
      </c>
      <c r="Z39" s="2185" t="s">
        <v>449</v>
      </c>
      <c r="AA39" s="2199"/>
      <c r="AB39" s="2238"/>
      <c r="AC39" s="1379" t="s">
        <v>494</v>
      </c>
      <c r="AD39" s="1149" t="s">
        <v>495</v>
      </c>
      <c r="AE39" s="1149" t="s">
        <v>496</v>
      </c>
      <c r="AF39" s="1382" t="s">
        <v>448</v>
      </c>
      <c r="AG39" s="2185" t="s">
        <v>449</v>
      </c>
      <c r="AH39" s="2199"/>
      <c r="AI39" s="2238"/>
      <c r="AJ39" s="2241"/>
      <c r="AK39" s="209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30">
        <f ca="1">OFFSET(Z40,0,-1)+1</f>
        <v>7</v>
      </c>
      <c r="AA40" s="2230"/>
      <c r="AB40" s="1378">
        <f ca="1">OFFSET(AB40,0,-2)+1</f>
        <v>8</v>
      </c>
      <c r="AC40" s="1378">
        <f ca="1">OFFSET(AC40,0,-1)+1</f>
        <v>9</v>
      </c>
      <c r="AD40" s="1378">
        <f ca="1">OFFSET(AD40,0,-1)+1</f>
        <v>10</v>
      </c>
      <c r="AE40" s="1378">
        <f ca="1">OFFSET(AE40,0,-1)+1</f>
        <v>11</v>
      </c>
      <c r="AF40" s="1378">
        <f ca="1">OFFSET(AF40,0,-1)+1</f>
        <v>12</v>
      </c>
      <c r="AG40" s="2230">
        <f ca="1">OFFSET(AG40,0,-1)+1</f>
        <v>13</v>
      </c>
      <c r="AH40" s="2230"/>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21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220"/>
      <c r="F42" s="2219">
        <v>1</v>
      </c>
      <c r="G42" s="1290"/>
      <c r="H42" s="1290"/>
      <c r="I42" s="1290"/>
      <c r="J42" s="1290"/>
      <c r="K42" s="1290"/>
      <c r="L42" s="1291"/>
      <c r="M42" s="1292"/>
      <c r="N42" s="1292"/>
      <c r="O42" s="1292"/>
      <c r="P42" s="1380"/>
      <c r="Q42" s="289"/>
      <c r="R42" s="290"/>
      <c r="S42" s="1384"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5" t="s">
        <v>400</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220"/>
      <c r="F43" s="2220"/>
      <c r="G43" s="2219">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499</v>
      </c>
      <c r="E44" s="2220"/>
      <c r="F44" s="2220"/>
      <c r="G44" s="2220"/>
      <c r="H44" s="2220"/>
      <c r="I44" s="2221" t="str">
        <f>S43&amp;".1"</f>
        <v>...1</v>
      </c>
      <c r="J44" s="1290"/>
      <c r="K44" s="1290"/>
      <c r="L44" s="1291"/>
      <c r="P44" s="2223">
        <v>1</v>
      </c>
      <c r="Q44" s="1377"/>
      <c r="R44" s="293"/>
      <c r="S44" s="1384" t="str">
        <f>$I44</f>
        <v>...1</v>
      </c>
      <c r="T44" s="222" t="s">
        <v>485</v>
      </c>
      <c r="U44" s="237"/>
      <c r="V44" s="2287"/>
      <c r="W44" s="2288"/>
      <c r="X44" s="2288"/>
      <c r="Y44" s="2288"/>
      <c r="Z44" s="2288"/>
      <c r="AA44" s="2288"/>
      <c r="AB44" s="2289"/>
      <c r="AC44" s="2290"/>
      <c r="AD44" s="2291"/>
      <c r="AE44" s="2291"/>
      <c r="AF44" s="2291"/>
      <c r="AG44" s="2291"/>
      <c r="AH44" s="2291"/>
      <c r="AI44" s="2291"/>
      <c r="AJ44" s="2292"/>
      <c r="AK44" s="1185" t="s">
        <v>486</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499</v>
      </c>
      <c r="E45" s="2220"/>
      <c r="F45" s="2220"/>
      <c r="G45" s="2220"/>
      <c r="H45" s="2220"/>
      <c r="I45" s="2222"/>
      <c r="J45" s="2221" t="str">
        <f>I44&amp;".1"</f>
        <v>...1.1</v>
      </c>
      <c r="K45" s="1290"/>
      <c r="L45" s="1291" t="s">
        <v>408</v>
      </c>
      <c r="P45" s="2223"/>
      <c r="Q45" s="2223">
        <v>1</v>
      </c>
      <c r="R45" s="294"/>
      <c r="S45" s="1384" t="str">
        <f>$J45</f>
        <v>...1.1</v>
      </c>
      <c r="T45" s="223" t="s">
        <v>409</v>
      </c>
      <c r="U45" s="237"/>
      <c r="V45" s="2207"/>
      <c r="W45" s="2208"/>
      <c r="X45" s="2208"/>
      <c r="Y45" s="2208"/>
      <c r="Z45" s="2208"/>
      <c r="AA45" s="2208"/>
      <c r="AB45" s="2209"/>
      <c r="AC45" s="2207"/>
      <c r="AD45" s="2208"/>
      <c r="AE45" s="2208"/>
      <c r="AF45" s="2208"/>
      <c r="AG45" s="2208"/>
      <c r="AH45" s="2208"/>
      <c r="AI45" s="2208"/>
      <c r="AJ45" s="2209"/>
      <c r="AK45" s="1234" t="s">
        <v>487</v>
      </c>
      <c r="AM45" s="437"/>
      <c r="AN45" s="437" t="str">
        <f t="shared" si="1"/>
        <v>Группа потребителей</v>
      </c>
      <c r="AO45" s="437"/>
      <c r="AP45" s="437"/>
      <c r="AQ45" s="1082">
        <v>23</v>
      </c>
    </row>
    <row r="46" spans="1:43" ht="24" customHeight="1">
      <c r="A46" s="1290" t="s">
        <v>238</v>
      </c>
      <c r="B46" s="1290" t="s">
        <v>239</v>
      </c>
      <c r="C46" s="1290" t="s">
        <v>240</v>
      </c>
      <c r="D46" s="1290" t="s">
        <v>499</v>
      </c>
      <c r="E46" s="2220"/>
      <c r="F46" s="2220"/>
      <c r="G46" s="2220"/>
      <c r="H46" s="2220"/>
      <c r="I46" s="2222"/>
      <c r="J46" s="2222"/>
      <c r="K46" s="2221" t="str">
        <f>J45&amp;".1"</f>
        <v>...1.1.1</v>
      </c>
      <c r="L46" s="1291"/>
      <c r="P46" s="2223"/>
      <c r="Q46" s="2223"/>
      <c r="R46" s="294">
        <v>1</v>
      </c>
      <c r="S46" s="1384" t="str">
        <f>$K46</f>
        <v>...1.1.1</v>
      </c>
      <c r="T46" s="1364"/>
      <c r="U46" s="237"/>
      <c r="V46" s="688"/>
      <c r="W46" s="688"/>
      <c r="X46" s="1184"/>
      <c r="Y46" s="2224"/>
      <c r="Z46" s="2102" t="s">
        <v>65</v>
      </c>
      <c r="AA46" s="2224"/>
      <c r="AB46" s="2102" t="s">
        <v>65</v>
      </c>
      <c r="AC46" s="688"/>
      <c r="AD46" s="688"/>
      <c r="AE46" s="1184"/>
      <c r="AF46" s="2224"/>
      <c r="AG46" s="2102" t="s">
        <v>65</v>
      </c>
      <c r="AH46" s="2226"/>
      <c r="AI46" s="2102" t="s">
        <v>65</v>
      </c>
      <c r="AJ46" s="1365"/>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499</v>
      </c>
      <c r="E47" s="2220"/>
      <c r="F47" s="2220"/>
      <c r="G47" s="2220"/>
      <c r="H47" s="2220"/>
      <c r="I47" s="2222"/>
      <c r="J47" s="2222"/>
      <c r="K47" s="2221"/>
      <c r="L47" s="1291"/>
      <c r="P47" s="2223"/>
      <c r="Q47" s="2223"/>
      <c r="R47" s="294"/>
      <c r="S47" s="1383"/>
      <c r="T47" s="237"/>
      <c r="U47" s="237"/>
      <c r="V47" s="262"/>
      <c r="W47" s="262"/>
      <c r="X47" s="265" t="str">
        <f>Y46&amp;"-"&amp;AA46</f>
        <v>-</v>
      </c>
      <c r="Y47" s="2225"/>
      <c r="Z47" s="2102"/>
      <c r="AA47" s="2225"/>
      <c r="AB47" s="2102"/>
      <c r="AC47" s="262"/>
      <c r="AD47" s="262"/>
      <c r="AE47" s="265" t="str">
        <f>AF46&amp;"-"&amp;AH46</f>
        <v>-</v>
      </c>
      <c r="AF47" s="2225"/>
      <c r="AG47" s="2102"/>
      <c r="AH47" s="2227"/>
      <c r="AI47" s="2102"/>
      <c r="AJ47" s="1366"/>
      <c r="AK47" s="2293"/>
      <c r="AM47" s="437"/>
      <c r="AN47" s="437" t="str">
        <f t="shared" si="1"/>
        <v/>
      </c>
      <c r="AO47" s="437"/>
      <c r="AP47" s="437"/>
      <c r="AQ47" s="1082">
        <v>0</v>
      </c>
    </row>
    <row r="48" spans="1:43" ht="21" customHeight="1">
      <c r="A48" s="1290" t="s">
        <v>238</v>
      </c>
      <c r="B48" s="1290" t="s">
        <v>239</v>
      </c>
      <c r="C48" s="1290" t="s">
        <v>240</v>
      </c>
      <c r="D48" s="1290" t="s">
        <v>499</v>
      </c>
      <c r="E48" s="2220"/>
      <c r="F48" s="2220"/>
      <c r="G48" s="2220"/>
      <c r="H48" s="2220"/>
      <c r="I48" s="2222"/>
      <c r="J48" s="2221"/>
      <c r="K48" s="1290"/>
      <c r="L48" s="1291"/>
      <c r="P48" s="2223"/>
      <c r="Q48" s="2223"/>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499</v>
      </c>
      <c r="E49" s="2220"/>
      <c r="F49" s="2220"/>
      <c r="G49" s="2220"/>
      <c r="H49" s="2220"/>
      <c r="I49" s="2221"/>
      <c r="J49" s="1290"/>
      <c r="K49" s="1290"/>
      <c r="L49" s="1291"/>
      <c r="P49" s="2223"/>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499</v>
      </c>
      <c r="E50" s="2220"/>
      <c r="F50" s="2220"/>
      <c r="G50" s="2220"/>
      <c r="H50" s="2219"/>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220"/>
      <c r="F51" s="2219"/>
      <c r="G51" s="1241"/>
      <c r="H51" s="1241"/>
      <c r="I51" s="1241"/>
      <c r="J51" s="1241"/>
      <c r="K51" s="1241"/>
      <c r="L51" s="1385"/>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219"/>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8"/>
      <c r="U55" s="2218"/>
      <c r="V55" s="2218"/>
      <c r="W55" s="2218"/>
      <c r="X55" s="2218"/>
      <c r="Y55" s="2218"/>
      <c r="Z55" s="2218"/>
      <c r="AA55" s="2218"/>
      <c r="AB55" s="2218"/>
      <c r="AC55" s="2218"/>
      <c r="AD55" s="2218"/>
      <c r="AE55" s="2218"/>
      <c r="AF55" s="2218"/>
      <c r="AG55" s="2218"/>
      <c r="AH55" s="2218"/>
      <c r="AI55" s="2218"/>
      <c r="AJ55" s="2218"/>
      <c r="AK55" s="2218"/>
      <c r="AQ55" s="1082">
        <v>14</v>
      </c>
    </row>
    <row r="56" spans="1:43" ht="14.65" customHeight="1">
      <c r="O56" s="474"/>
      <c r="AQ56" s="1082">
        <v>14</v>
      </c>
    </row>
    <row r="57" spans="1:43" ht="14.65" customHeight="1">
      <c r="O57" s="474"/>
      <c r="S57" s="1180"/>
      <c r="T57" s="2218"/>
      <c r="U57" s="2218"/>
      <c r="V57" s="2218"/>
      <c r="W57" s="2218"/>
      <c r="X57" s="2218"/>
      <c r="Y57" s="2218"/>
      <c r="Z57" s="2218"/>
      <c r="AA57" s="2218"/>
      <c r="AB57" s="2218"/>
      <c r="AC57" s="2218"/>
      <c r="AD57" s="2218"/>
      <c r="AE57" s="2218"/>
      <c r="AF57" s="2218"/>
      <c r="AG57" s="2218"/>
      <c r="AH57" s="2218"/>
      <c r="AI57" s="2218"/>
      <c r="AJ57" s="2218"/>
      <c r="AK57" s="221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9">
        <v>1</v>
      </c>
      <c r="F2" s="1290"/>
      <c r="G2" s="1290"/>
      <c r="H2" s="1290"/>
      <c r="I2" s="1290"/>
      <c r="J2" s="1290"/>
      <c r="K2" s="1290"/>
      <c r="L2" s="1291"/>
      <c r="M2" s="1292"/>
      <c r="N2" s="1292"/>
      <c r="O2" s="1292"/>
      <c r="P2" s="298"/>
      <c r="Q2" s="297"/>
      <c r="R2" s="292"/>
      <c r="S2" s="1384"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0"/>
      <c r="F3" s="2219">
        <v>1</v>
      </c>
      <c r="G3" s="1290"/>
      <c r="H3" s="1290"/>
      <c r="I3" s="1290"/>
      <c r="J3" s="1290"/>
      <c r="K3" s="1290"/>
      <c r="L3" s="1291"/>
      <c r="M3" s="1292"/>
      <c r="N3" s="1292"/>
      <c r="O3" s="1292"/>
      <c r="P3" s="1380"/>
      <c r="Q3" s="289"/>
      <c r="R3" s="290"/>
      <c r="S3" s="1384"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5" t="s">
        <v>400</v>
      </c>
      <c r="AM3" s="437"/>
      <c r="AN3" s="437" t="str">
        <f t="shared" si="0"/>
        <v>Территория действия тарифа</v>
      </c>
      <c r="AO3" s="437"/>
      <c r="AP3" s="437"/>
      <c r="AQ3" s="1082">
        <v>0</v>
      </c>
    </row>
    <row r="4" spans="1:43" ht="23.25" hidden="1" customHeight="1">
      <c r="A4" s="1290"/>
      <c r="B4" s="1290"/>
      <c r="C4" s="1290"/>
      <c r="D4" s="1290"/>
      <c r="E4" s="2220"/>
      <c r="F4" s="2220"/>
      <c r="G4" s="2219">
        <v>1</v>
      </c>
      <c r="H4" s="1290"/>
      <c r="I4" s="1290"/>
      <c r="J4" s="1290"/>
      <c r="K4" s="1290"/>
      <c r="L4" s="1291"/>
      <c r="M4" s="1292"/>
      <c r="N4" s="1292"/>
      <c r="O4" s="1292"/>
      <c r="P4" s="291"/>
      <c r="Q4" s="289"/>
      <c r="R4" s="290"/>
      <c r="S4" s="1384" t="e">
        <f>INDEX(PT_DIFFERENTIATION_NUM_CS,MATCH(C4,PT_DIFFERENTIATION_CS_ID,0))</f>
        <v>#N/A</v>
      </c>
      <c r="T4" s="246" t="s">
        <v>483</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20"/>
      <c r="F5" s="2220"/>
      <c r="G5" s="2220"/>
      <c r="H5" s="2220"/>
      <c r="I5" s="2221" t="e">
        <f>S4&amp;".1"</f>
        <v>#N/A</v>
      </c>
      <c r="J5" s="1290"/>
      <c r="K5" s="1290"/>
      <c r="L5" s="1291"/>
      <c r="P5" s="2223">
        <v>1</v>
      </c>
      <c r="Q5" s="1377"/>
      <c r="R5" s="293"/>
      <c r="S5" s="1384" t="e">
        <f>$I5</f>
        <v>#N/A</v>
      </c>
      <c r="T5" s="222" t="s">
        <v>485</v>
      </c>
      <c r="U5" s="237"/>
      <c r="V5" s="2287"/>
      <c r="W5" s="2288"/>
      <c r="X5" s="2288"/>
      <c r="Y5" s="2288"/>
      <c r="Z5" s="2288"/>
      <c r="AA5" s="2288"/>
      <c r="AB5" s="2289"/>
      <c r="AC5" s="2290"/>
      <c r="AD5" s="2291"/>
      <c r="AE5" s="2291"/>
      <c r="AF5" s="2291"/>
      <c r="AG5" s="2291"/>
      <c r="AH5" s="2291"/>
      <c r="AI5" s="2291"/>
      <c r="AJ5" s="2292"/>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0"/>
      <c r="F6" s="2220"/>
      <c r="G6" s="2220"/>
      <c r="H6" s="2220"/>
      <c r="I6" s="2222"/>
      <c r="J6" s="2221" t="e">
        <f>I5&amp;".1"</f>
        <v>#N/A</v>
      </c>
      <c r="K6" s="1290"/>
      <c r="L6" s="1291" t="s">
        <v>408</v>
      </c>
      <c r="P6" s="2223"/>
      <c r="Q6" s="2223">
        <v>1</v>
      </c>
      <c r="R6" s="294"/>
      <c r="S6" s="1384" t="e">
        <f>$J6</f>
        <v>#N/A</v>
      </c>
      <c r="T6" s="223" t="s">
        <v>409</v>
      </c>
      <c r="U6" s="237"/>
      <c r="V6" s="2207"/>
      <c r="W6" s="2208"/>
      <c r="X6" s="2208"/>
      <c r="Y6" s="2208"/>
      <c r="Z6" s="2208"/>
      <c r="AA6" s="2208"/>
      <c r="AB6" s="2209"/>
      <c r="AC6" s="2207"/>
      <c r="AD6" s="2208"/>
      <c r="AE6" s="2208"/>
      <c r="AF6" s="2208"/>
      <c r="AG6" s="2208"/>
      <c r="AH6" s="2208"/>
      <c r="AI6" s="2208"/>
      <c r="AJ6" s="2209"/>
      <c r="AK6" s="1234" t="s">
        <v>487</v>
      </c>
      <c r="AM6" s="437"/>
      <c r="AN6" s="437" t="str">
        <f t="shared" si="0"/>
        <v>Группа потребителей</v>
      </c>
      <c r="AO6" s="437"/>
      <c r="AP6" s="437"/>
      <c r="AQ6" s="1082">
        <v>0</v>
      </c>
    </row>
    <row r="7" spans="1:43" ht="23.25" hidden="1" customHeight="1">
      <c r="A7" s="1290"/>
      <c r="B7" s="1290"/>
      <c r="C7" s="1290"/>
      <c r="D7" s="1290"/>
      <c r="E7" s="2220"/>
      <c r="F7" s="2220"/>
      <c r="G7" s="2220"/>
      <c r="H7" s="2220"/>
      <c r="I7" s="2222"/>
      <c r="J7" s="2222"/>
      <c r="K7" s="2221" t="e">
        <f>J6&amp;".1"</f>
        <v>#N/A</v>
      </c>
      <c r="L7" s="1291"/>
      <c r="P7" s="2223"/>
      <c r="Q7" s="2223"/>
      <c r="R7" s="294">
        <v>1</v>
      </c>
      <c r="S7" s="1384" t="e">
        <f>$K7</f>
        <v>#N/A</v>
      </c>
      <c r="T7" s="1364"/>
      <c r="U7" s="237"/>
      <c r="V7" s="688"/>
      <c r="W7" s="688"/>
      <c r="X7" s="1184"/>
      <c r="Y7" s="2224"/>
      <c r="Z7" s="2102" t="s">
        <v>65</v>
      </c>
      <c r="AA7" s="2224"/>
      <c r="AB7" s="2102" t="s">
        <v>65</v>
      </c>
      <c r="AC7" s="688"/>
      <c r="AD7" s="688"/>
      <c r="AE7" s="1184"/>
      <c r="AF7" s="2224"/>
      <c r="AG7" s="2102" t="s">
        <v>65</v>
      </c>
      <c r="AH7" s="2226"/>
      <c r="AI7" s="2102" t="s">
        <v>65</v>
      </c>
      <c r="AJ7" s="1365"/>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0"/>
      <c r="F8" s="2220"/>
      <c r="G8" s="2220"/>
      <c r="H8" s="2220"/>
      <c r="I8" s="2222"/>
      <c r="J8" s="2222"/>
      <c r="K8" s="2221"/>
      <c r="L8" s="1291"/>
      <c r="P8" s="2223"/>
      <c r="Q8" s="2223"/>
      <c r="R8" s="294"/>
      <c r="S8" s="1383"/>
      <c r="T8" s="237"/>
      <c r="U8" s="237"/>
      <c r="V8" s="262"/>
      <c r="W8" s="262"/>
      <c r="X8" s="265" t="str">
        <f>Y7&amp;"-"&amp;AA7</f>
        <v>-</v>
      </c>
      <c r="Y8" s="2225"/>
      <c r="Z8" s="2102"/>
      <c r="AA8" s="2225"/>
      <c r="AB8" s="2102"/>
      <c r="AC8" s="262"/>
      <c r="AD8" s="262"/>
      <c r="AE8" s="265" t="str">
        <f>AF7&amp;"-"&amp;AH7</f>
        <v>-</v>
      </c>
      <c r="AF8" s="2225"/>
      <c r="AG8" s="2102"/>
      <c r="AH8" s="2227"/>
      <c r="AI8" s="2102"/>
      <c r="AJ8" s="1366"/>
      <c r="AK8" s="2293"/>
      <c r="AM8" s="437"/>
      <c r="AN8" s="437" t="str">
        <f t="shared" si="0"/>
        <v/>
      </c>
      <c r="AO8" s="437"/>
      <c r="AP8" s="437"/>
      <c r="AQ8" s="1082">
        <v>0</v>
      </c>
    </row>
    <row r="9" spans="1:43" ht="21" hidden="1" customHeight="1">
      <c r="A9" s="1290"/>
      <c r="B9" s="1290"/>
      <c r="C9" s="1290"/>
      <c r="D9" s="1290"/>
      <c r="E9" s="2220"/>
      <c r="F9" s="2220"/>
      <c r="G9" s="2220"/>
      <c r="H9" s="2220"/>
      <c r="I9" s="2222"/>
      <c r="J9" s="2221"/>
      <c r="K9" s="1290"/>
      <c r="L9" s="1291"/>
      <c r="P9" s="2223"/>
      <c r="Q9" s="2223"/>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0"/>
      <c r="F10" s="2220"/>
      <c r="G10" s="2220"/>
      <c r="H10" s="2220"/>
      <c r="I10" s="2221"/>
      <c r="J10" s="1290"/>
      <c r="K10" s="1290"/>
      <c r="L10" s="1291"/>
      <c r="P10" s="2223"/>
      <c r="Q10" s="1377"/>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0"/>
      <c r="F11" s="2220"/>
      <c r="G11" s="2220"/>
      <c r="H11" s="2219"/>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0"/>
      <c r="F12" s="2219"/>
      <c r="G12" s="1241"/>
      <c r="H12" s="1241"/>
      <c r="I12" s="1241"/>
      <c r="J12" s="1241"/>
      <c r="K12" s="1241"/>
      <c r="L12" s="1385"/>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9"/>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7"/>
      <c r="AG15" s="2216" t="s">
        <v>65</v>
      </c>
      <c r="AH15" s="2217"/>
      <c r="AI15" s="2216" t="s">
        <v>65</v>
      </c>
      <c r="AQ15" s="1082">
        <v>0</v>
      </c>
    </row>
    <row r="16" spans="1:43" ht="14.25" hidden="1" customHeight="1">
      <c r="AC16" s="1287"/>
      <c r="AD16" s="1287"/>
      <c r="AE16" s="265" t="str">
        <f>AF15&amp;"-"&amp;AH15</f>
        <v>-</v>
      </c>
      <c r="AF16" s="2216"/>
      <c r="AG16" s="2216"/>
      <c r="AH16" s="2216"/>
      <c r="AI16" s="2216"/>
      <c r="AQ16" s="1082">
        <v>0</v>
      </c>
    </row>
    <row r="17" spans="1:43" ht="14.25" hidden="1" customHeight="1">
      <c r="AI17" s="264"/>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00"/>
      <c r="U24" s="2200"/>
      <c r="V24" s="2200"/>
      <c r="W24" s="2200"/>
      <c r="X24" s="2200"/>
      <c r="Y24" s="2200"/>
      <c r="Z24" s="2200"/>
      <c r="AA24" s="2200"/>
      <c r="AB24" s="2200"/>
      <c r="AC24" s="2200"/>
      <c r="AD24" s="2200"/>
      <c r="AE24" s="2200"/>
      <c r="AF24" s="2200"/>
      <c r="AG24" s="2200"/>
      <c r="AH24" s="2200"/>
      <c r="AI24" s="1170"/>
      <c r="AQ24" s="1082">
        <v>14</v>
      </c>
    </row>
    <row r="25" spans="1:43" ht="14.65" customHeight="1">
      <c r="Q25" s="313"/>
      <c r="R25" s="313"/>
      <c r="S25" s="2172" t="str">
        <f>IF(org=0,"Не определено",org)</f>
        <v>МУП "Михайловское водопроводно-канализационное хозяйство"</v>
      </c>
      <c r="T25" s="2172"/>
      <c r="U25" s="2172"/>
      <c r="V25" s="2172"/>
      <c r="W25" s="2172"/>
      <c r="X25" s="2172"/>
      <c r="Y25" s="2172"/>
      <c r="Z25" s="2172"/>
      <c r="AA25" s="2172"/>
      <c r="AB25" s="2172"/>
      <c r="AC25" s="2172"/>
      <c r="AD25" s="2172"/>
      <c r="AE25" s="2172"/>
      <c r="AF25" s="2172"/>
      <c r="AG25" s="2172"/>
      <c r="AH25" s="217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10" t="s">
        <v>42</v>
      </c>
      <c r="T27" s="2210"/>
      <c r="U27" s="1299"/>
      <c r="V27" s="2212" t="str">
        <f>IF(TITLE_NAME_OR_PR_CHANGE="",IF(TITLE_NAME_OR_PR="","",TITLE_NAME_OR_PR),TITLE_NAME_OR_PR_CHANGE)</f>
        <v/>
      </c>
      <c r="W27" s="2212"/>
      <c r="X27" s="2212"/>
      <c r="Y27" s="2212"/>
      <c r="Z27" s="2212"/>
      <c r="AA27" s="2212"/>
      <c r="AB27" s="263"/>
      <c r="AC27" s="2212" t="str">
        <f>IF(TITLE_NAME_OR_PR_CHANGE="",IF(TITLE_NAME_OR_PR="","",TITLE_NAME_OR_PR),TITLE_NAME_OR_PR_CHANGE)</f>
        <v/>
      </c>
      <c r="AD27" s="2212"/>
      <c r="AE27" s="2212"/>
      <c r="AF27" s="2212"/>
      <c r="AG27" s="2212"/>
      <c r="AH27" s="221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10" t="s">
        <v>425</v>
      </c>
      <c r="T28" s="2210"/>
      <c r="U28" s="1299"/>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10" t="s">
        <v>426</v>
      </c>
      <c r="T29" s="2210"/>
      <c r="U29" s="1299"/>
      <c r="V29" s="2212" t="str">
        <f>IF(TITLE_NUMBER_PR_CHANGE="",IF(TITLE_NUMBER_PR="","",TITLE_NUMBER_PR),TITLE_NUMBER_PR_CHANGE)</f>
        <v/>
      </c>
      <c r="W29" s="2212"/>
      <c r="X29" s="2212"/>
      <c r="Y29" s="2212"/>
      <c r="Z29" s="2212"/>
      <c r="AA29" s="2212"/>
      <c r="AB29" s="263"/>
      <c r="AC29" s="2212" t="str">
        <f>IF(TITLE_NUMBER_PR_CHANGE="",IF(TITLE_NUMBER_PR="","",TITLE_NUMBER_PR),TITLE_NUMBER_PR_CHANGE)</f>
        <v/>
      </c>
      <c r="AD29" s="2212"/>
      <c r="AE29" s="2212"/>
      <c r="AF29" s="2212"/>
      <c r="AG29" s="2212"/>
      <c r="AH29" s="221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10" t="s">
        <v>43</v>
      </c>
      <c r="T30" s="2210"/>
      <c r="U30" s="1299"/>
      <c r="V30" s="2212" t="str">
        <f>IF(TITLE_IST_PUB_CHANGE="",IF(TITLE_IST_PUB="","",TITLE_IST_PUB),TITLE_IST_PUB_CHANGE)</f>
        <v/>
      </c>
      <c r="W30" s="2212"/>
      <c r="X30" s="2212"/>
      <c r="Y30" s="2212"/>
      <c r="Z30" s="2212"/>
      <c r="AA30" s="2212"/>
      <c r="AB30" s="263"/>
      <c r="AC30" s="2212" t="str">
        <f>IF(TITLE_IST_PUB_CHANGE="",IF(TITLE_IST_PUB="","",TITLE_IST_PUB),TITLE_IST_PUB_CHANGE)</f>
        <v/>
      </c>
      <c r="AD30" s="2212"/>
      <c r="AE30" s="2212"/>
      <c r="AF30" s="2212"/>
      <c r="AG30" s="2212"/>
      <c r="AH30" s="221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10" t="s">
        <v>427</v>
      </c>
      <c r="T32" s="2210"/>
      <c r="U32" s="1299"/>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10" t="s">
        <v>428</v>
      </c>
      <c r="T33" s="2210"/>
      <c r="U33" s="1299"/>
      <c r="V33" s="2212" t="str">
        <f>IF(TITLE_NUMBER_PR_CHANGE="",IF(TITLE_NUMBER_PR="","",TITLE_NUMBER_PR),TITLE_NUMBER_PR_CHANGE)</f>
        <v/>
      </c>
      <c r="W33" s="2212"/>
      <c r="X33" s="2212"/>
      <c r="Y33" s="2212"/>
      <c r="Z33" s="2212"/>
      <c r="AA33" s="2212"/>
      <c r="AB33" s="263"/>
      <c r="AC33" s="2212" t="str">
        <f>IF(TITLE_NUMBER_PR_CHANGE="",IF(TITLE_NUMBER_PR="","",TITLE_NUMBER_PR),TITLE_NUMBER_PR_CHANGE)</f>
        <v/>
      </c>
      <c r="AD33" s="2212"/>
      <c r="AE33" s="2212"/>
      <c r="AF33" s="2212"/>
      <c r="AG33" s="2212"/>
      <c r="AH33" s="221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231"/>
      <c r="W35" s="2231"/>
      <c r="X35" s="2231"/>
      <c r="Y35" s="2231"/>
      <c r="Z35" s="2231"/>
      <c r="AA35" s="2231"/>
      <c r="AB35" s="2231"/>
      <c r="AC35" s="2231"/>
      <c r="AD35" s="2231"/>
      <c r="AE35" s="2231"/>
      <c r="AF35" s="2231"/>
      <c r="AG35" s="2231"/>
      <c r="AH35" s="2231"/>
      <c r="AI35" s="2231"/>
      <c r="AQ35" s="1082">
        <v>14</v>
      </c>
    </row>
    <row r="36" spans="1:43" ht="14.65" customHeight="1">
      <c r="Q36" s="313"/>
      <c r="R36" s="313"/>
      <c r="S36" s="2091" t="s">
        <v>302</v>
      </c>
      <c r="T36" s="2091"/>
      <c r="U36" s="2091"/>
      <c r="V36" s="2091"/>
      <c r="W36" s="2091"/>
      <c r="X36" s="2091"/>
      <c r="Y36" s="2091"/>
      <c r="Z36" s="2091"/>
      <c r="AA36" s="2091"/>
      <c r="AB36" s="2091"/>
      <c r="AC36" s="2091"/>
      <c r="AD36" s="2091"/>
      <c r="AE36" s="2091"/>
      <c r="AF36" s="2091"/>
      <c r="AG36" s="2091"/>
      <c r="AH36" s="2091"/>
      <c r="AI36" s="2091"/>
      <c r="AJ36" s="2091"/>
      <c r="AK36" s="2091" t="s">
        <v>303</v>
      </c>
      <c r="AQ36" s="1082">
        <v>14</v>
      </c>
    </row>
    <row r="37" spans="1:43" ht="14.65" customHeight="1">
      <c r="Q37" s="313"/>
      <c r="R37" s="313"/>
      <c r="S37" s="2232" t="s">
        <v>87</v>
      </c>
      <c r="T37" s="2180" t="s">
        <v>430</v>
      </c>
      <c r="U37" s="238"/>
      <c r="V37" s="2233" t="s">
        <v>431</v>
      </c>
      <c r="W37" s="2234"/>
      <c r="X37" s="2234"/>
      <c r="Y37" s="2234"/>
      <c r="Z37" s="2234"/>
      <c r="AA37" s="2235"/>
      <c r="AB37" s="2236" t="s">
        <v>432</v>
      </c>
      <c r="AC37" s="2233" t="s">
        <v>431</v>
      </c>
      <c r="AD37" s="2234"/>
      <c r="AE37" s="2234"/>
      <c r="AF37" s="2234"/>
      <c r="AG37" s="2234"/>
      <c r="AH37" s="2235"/>
      <c r="AI37" s="2236" t="s">
        <v>433</v>
      </c>
      <c r="AJ37" s="2239" t="s">
        <v>434</v>
      </c>
      <c r="AK37" s="2091"/>
      <c r="AQ37" s="1082">
        <v>14</v>
      </c>
    </row>
    <row r="38" spans="1:43" ht="35.65" customHeight="1">
      <c r="Q38" s="313"/>
      <c r="R38" s="313"/>
      <c r="S38" s="2232"/>
      <c r="T38" s="2180"/>
      <c r="U38" s="961"/>
      <c r="V38" s="1379" t="s">
        <v>491</v>
      </c>
      <c r="W38" s="2073" t="s">
        <v>437</v>
      </c>
      <c r="X38" s="2072"/>
      <c r="Y38" s="2073" t="s">
        <v>438</v>
      </c>
      <c r="Z38" s="2078"/>
      <c r="AA38" s="2072"/>
      <c r="AB38" s="2237"/>
      <c r="AC38" s="1379" t="s">
        <v>491</v>
      </c>
      <c r="AD38" s="2073" t="s">
        <v>437</v>
      </c>
      <c r="AE38" s="2072"/>
      <c r="AF38" s="2073" t="s">
        <v>438</v>
      </c>
      <c r="AG38" s="2078"/>
      <c r="AH38" s="2072"/>
      <c r="AI38" s="2237"/>
      <c r="AJ38" s="2240"/>
      <c r="AK38" s="2091"/>
      <c r="AQ38" s="1082">
        <v>34</v>
      </c>
    </row>
    <row r="39" spans="1:43" ht="35.65"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2"/>
      <c r="T39" s="2180"/>
      <c r="U39" s="239"/>
      <c r="V39" s="1379" t="s">
        <v>494</v>
      </c>
      <c r="W39" s="1149" t="s">
        <v>495</v>
      </c>
      <c r="X39" s="1149" t="s">
        <v>496</v>
      </c>
      <c r="Y39" s="1382" t="s">
        <v>448</v>
      </c>
      <c r="Z39" s="2185" t="s">
        <v>449</v>
      </c>
      <c r="AA39" s="2199"/>
      <c r="AB39" s="2238"/>
      <c r="AC39" s="1379" t="s">
        <v>494</v>
      </c>
      <c r="AD39" s="1149" t="s">
        <v>495</v>
      </c>
      <c r="AE39" s="1149" t="s">
        <v>496</v>
      </c>
      <c r="AF39" s="1382" t="s">
        <v>448</v>
      </c>
      <c r="AG39" s="2185" t="s">
        <v>449</v>
      </c>
      <c r="AH39" s="2199"/>
      <c r="AI39" s="2238"/>
      <c r="AJ39" s="2241"/>
      <c r="AK39" s="209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30">
        <f ca="1">OFFSET(Z40,0,-1)+1</f>
        <v>7</v>
      </c>
      <c r="AA40" s="2230"/>
      <c r="AB40" s="1378">
        <f ca="1">OFFSET(AB40,0,-2)+1</f>
        <v>8</v>
      </c>
      <c r="AC40" s="1378">
        <f ca="1">OFFSET(AC40,0,-1)+1</f>
        <v>9</v>
      </c>
      <c r="AD40" s="1378">
        <f ca="1">OFFSET(AD40,0,-1)+1</f>
        <v>10</v>
      </c>
      <c r="AE40" s="1378">
        <f ca="1">OFFSET(AE40,0,-1)+1</f>
        <v>11</v>
      </c>
      <c r="AF40" s="1378">
        <f ca="1">OFFSET(AF40,0,-1)+1</f>
        <v>12</v>
      </c>
      <c r="AG40" s="2230">
        <f ca="1">OFFSET(AG40,0,-1)+1</f>
        <v>13</v>
      </c>
      <c r="AH40" s="2230"/>
      <c r="AI40" s="1378">
        <f ca="1">OFFSET(AI40,0,-2)+1</f>
        <v>14</v>
      </c>
      <c r="AJ40" s="1172">
        <f ca="1">OFFSET(AJ40,0,-1)</f>
        <v>14</v>
      </c>
      <c r="AK40" s="1378">
        <f ca="1">OFFSET(AK40,0,-1)+1</f>
        <v>15</v>
      </c>
      <c r="AL40" s="448"/>
      <c r="AM40" s="448"/>
      <c r="AN40" s="448"/>
      <c r="AO40" s="448"/>
      <c r="AP40" s="448"/>
      <c r="AQ40" s="433">
        <v>0</v>
      </c>
    </row>
    <row r="41" spans="1:43" ht="24" customHeight="1">
      <c r="A41" s="1290" t="s">
        <v>243</v>
      </c>
      <c r="B41" s="1290"/>
      <c r="C41" s="1290"/>
      <c r="D41" s="1290"/>
      <c r="E41" s="221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243</v>
      </c>
      <c r="B42" s="1290" t="s">
        <v>244</v>
      </c>
      <c r="C42" s="1290"/>
      <c r="D42" s="1290"/>
      <c r="E42" s="2220"/>
      <c r="F42" s="2219">
        <v>1</v>
      </c>
      <c r="G42" s="1290"/>
      <c r="H42" s="1290"/>
      <c r="I42" s="1290"/>
      <c r="J42" s="1290"/>
      <c r="K42" s="1290"/>
      <c r="L42" s="1291"/>
      <c r="M42" s="1292"/>
      <c r="N42" s="1292"/>
      <c r="O42" s="1292"/>
      <c r="P42" s="1380"/>
      <c r="Q42" s="289"/>
      <c r="R42" s="290"/>
      <c r="S42" s="1384"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5" t="s">
        <v>400</v>
      </c>
      <c r="AM42" s="437"/>
      <c r="AN42" s="437" t="str">
        <f t="shared" si="1"/>
        <v>Территория действия тарифа</v>
      </c>
      <c r="AO42" s="437"/>
      <c r="AP42" s="437"/>
      <c r="AQ42" s="1082">
        <v>23</v>
      </c>
    </row>
    <row r="43" spans="1:43" ht="24" customHeight="1">
      <c r="A43" s="1290" t="s">
        <v>243</v>
      </c>
      <c r="B43" s="1290" t="s">
        <v>244</v>
      </c>
      <c r="C43" s="1290" t="s">
        <v>245</v>
      </c>
      <c r="D43" s="1290"/>
      <c r="E43" s="2220"/>
      <c r="F43" s="2220"/>
      <c r="G43" s="2219">
        <v>1</v>
      </c>
      <c r="H43" s="1290"/>
      <c r="I43" s="1290"/>
      <c r="J43" s="1290"/>
      <c r="K43" s="1290"/>
      <c r="L43" s="1291"/>
      <c r="M43" s="1292"/>
      <c r="N43" s="1292"/>
      <c r="O43" s="1292"/>
      <c r="P43" s="291"/>
      <c r="Q43" s="289"/>
      <c r="R43" s="290"/>
      <c r="S43" s="1384" t="str">
        <f>INDEX(PT_DIFFERENTIATION_NUM_CS,MATCH(C43,PT_DIFFERENTIATION_CS_ID,0))</f>
        <v>..</v>
      </c>
      <c r="T43" s="246" t="s">
        <v>483</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243</v>
      </c>
      <c r="B44" s="1290" t="s">
        <v>244</v>
      </c>
      <c r="C44" s="1290" t="s">
        <v>245</v>
      </c>
      <c r="D44" s="1290" t="s">
        <v>500</v>
      </c>
      <c r="E44" s="2220"/>
      <c r="F44" s="2220"/>
      <c r="G44" s="2220"/>
      <c r="H44" s="2220"/>
      <c r="I44" s="2221" t="str">
        <f>S43&amp;".1"</f>
        <v>...1</v>
      </c>
      <c r="J44" s="1290"/>
      <c r="K44" s="1290"/>
      <c r="L44" s="1291"/>
      <c r="P44" s="2223">
        <v>1</v>
      </c>
      <c r="Q44" s="1377"/>
      <c r="R44" s="293"/>
      <c r="S44" s="1384" t="str">
        <f>$I44</f>
        <v>...1</v>
      </c>
      <c r="T44" s="222" t="s">
        <v>485</v>
      </c>
      <c r="U44" s="237"/>
      <c r="V44" s="2287"/>
      <c r="W44" s="2288"/>
      <c r="X44" s="2288"/>
      <c r="Y44" s="2288"/>
      <c r="Z44" s="2288"/>
      <c r="AA44" s="2288"/>
      <c r="AB44" s="2289"/>
      <c r="AC44" s="2290"/>
      <c r="AD44" s="2291"/>
      <c r="AE44" s="2291"/>
      <c r="AF44" s="2291"/>
      <c r="AG44" s="2291"/>
      <c r="AH44" s="2291"/>
      <c r="AI44" s="2291"/>
      <c r="AJ44" s="2292"/>
      <c r="AK44" s="1185" t="s">
        <v>486</v>
      </c>
      <c r="AM44" s="437"/>
      <c r="AN44" s="437" t="str">
        <f t="shared" si="1"/>
        <v>Наименование признака дифференциации</v>
      </c>
      <c r="AO44" s="437"/>
      <c r="AP44" s="437"/>
      <c r="AQ44" s="1082">
        <v>23</v>
      </c>
    </row>
    <row r="45" spans="1:43" ht="24" customHeight="1">
      <c r="A45" s="1290" t="s">
        <v>243</v>
      </c>
      <c r="B45" s="1290" t="s">
        <v>244</v>
      </c>
      <c r="C45" s="1290" t="s">
        <v>245</v>
      </c>
      <c r="D45" s="1290" t="s">
        <v>500</v>
      </c>
      <c r="E45" s="2220"/>
      <c r="F45" s="2220"/>
      <c r="G45" s="2220"/>
      <c r="H45" s="2220"/>
      <c r="I45" s="2222"/>
      <c r="J45" s="2221" t="str">
        <f>I44&amp;".1"</f>
        <v>...1.1</v>
      </c>
      <c r="K45" s="1290"/>
      <c r="L45" s="1291" t="s">
        <v>408</v>
      </c>
      <c r="P45" s="2223"/>
      <c r="Q45" s="2223">
        <v>1</v>
      </c>
      <c r="R45" s="294"/>
      <c r="S45" s="1384" t="str">
        <f>$J45</f>
        <v>...1.1</v>
      </c>
      <c r="T45" s="223" t="s">
        <v>409</v>
      </c>
      <c r="U45" s="237"/>
      <c r="V45" s="2207"/>
      <c r="W45" s="2208"/>
      <c r="X45" s="2208"/>
      <c r="Y45" s="2208"/>
      <c r="Z45" s="2208"/>
      <c r="AA45" s="2208"/>
      <c r="AB45" s="2209"/>
      <c r="AC45" s="2207"/>
      <c r="AD45" s="2208"/>
      <c r="AE45" s="2208"/>
      <c r="AF45" s="2208"/>
      <c r="AG45" s="2208"/>
      <c r="AH45" s="2208"/>
      <c r="AI45" s="2208"/>
      <c r="AJ45" s="2209"/>
      <c r="AK45" s="1234" t="s">
        <v>487</v>
      </c>
      <c r="AM45" s="437"/>
      <c r="AN45" s="437" t="str">
        <f t="shared" si="1"/>
        <v>Группа потребителей</v>
      </c>
      <c r="AO45" s="437"/>
      <c r="AP45" s="437"/>
      <c r="AQ45" s="1082">
        <v>23</v>
      </c>
    </row>
    <row r="46" spans="1:43" ht="24" customHeight="1">
      <c r="A46" s="1290" t="s">
        <v>243</v>
      </c>
      <c r="B46" s="1290" t="s">
        <v>244</v>
      </c>
      <c r="C46" s="1290" t="s">
        <v>245</v>
      </c>
      <c r="D46" s="1290" t="s">
        <v>500</v>
      </c>
      <c r="E46" s="2220"/>
      <c r="F46" s="2220"/>
      <c r="G46" s="2220"/>
      <c r="H46" s="2220"/>
      <c r="I46" s="2222"/>
      <c r="J46" s="2222"/>
      <c r="K46" s="2221" t="str">
        <f>J45&amp;".1"</f>
        <v>...1.1.1</v>
      </c>
      <c r="L46" s="1291"/>
      <c r="P46" s="2223"/>
      <c r="Q46" s="2223"/>
      <c r="R46" s="294">
        <v>1</v>
      </c>
      <c r="S46" s="1384" t="str">
        <f>$K46</f>
        <v>...1.1.1</v>
      </c>
      <c r="T46" s="1364"/>
      <c r="U46" s="237"/>
      <c r="V46" s="688"/>
      <c r="W46" s="688"/>
      <c r="X46" s="1184"/>
      <c r="Y46" s="2224"/>
      <c r="Z46" s="2102" t="s">
        <v>65</v>
      </c>
      <c r="AA46" s="2224"/>
      <c r="AB46" s="2102" t="s">
        <v>65</v>
      </c>
      <c r="AC46" s="688"/>
      <c r="AD46" s="688"/>
      <c r="AE46" s="1184"/>
      <c r="AF46" s="2224"/>
      <c r="AG46" s="2102" t="s">
        <v>65</v>
      </c>
      <c r="AH46" s="2226"/>
      <c r="AI46" s="2102" t="s">
        <v>65</v>
      </c>
      <c r="AJ46" s="1365"/>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243</v>
      </c>
      <c r="B47" s="1290" t="s">
        <v>244</v>
      </c>
      <c r="C47" s="1290" t="s">
        <v>245</v>
      </c>
      <c r="D47" s="1290" t="s">
        <v>500</v>
      </c>
      <c r="E47" s="2220"/>
      <c r="F47" s="2220"/>
      <c r="G47" s="2220"/>
      <c r="H47" s="2220"/>
      <c r="I47" s="2222"/>
      <c r="J47" s="2222"/>
      <c r="K47" s="2221"/>
      <c r="L47" s="1291"/>
      <c r="P47" s="2223"/>
      <c r="Q47" s="2223"/>
      <c r="R47" s="294"/>
      <c r="S47" s="1383"/>
      <c r="T47" s="237"/>
      <c r="U47" s="237"/>
      <c r="V47" s="262"/>
      <c r="W47" s="262"/>
      <c r="X47" s="265" t="str">
        <f>Y46&amp;"-"&amp;AA46</f>
        <v>-</v>
      </c>
      <c r="Y47" s="2225"/>
      <c r="Z47" s="2102"/>
      <c r="AA47" s="2225"/>
      <c r="AB47" s="2102"/>
      <c r="AC47" s="262"/>
      <c r="AD47" s="262"/>
      <c r="AE47" s="265" t="str">
        <f>AF46&amp;"-"&amp;AH46</f>
        <v>-</v>
      </c>
      <c r="AF47" s="2225"/>
      <c r="AG47" s="2102"/>
      <c r="AH47" s="2227"/>
      <c r="AI47" s="2102"/>
      <c r="AJ47" s="1366"/>
      <c r="AK47" s="2293"/>
      <c r="AM47" s="437"/>
      <c r="AN47" s="437" t="str">
        <f t="shared" si="1"/>
        <v/>
      </c>
      <c r="AO47" s="437"/>
      <c r="AP47" s="437"/>
      <c r="AQ47" s="1082">
        <v>0</v>
      </c>
    </row>
    <row r="48" spans="1:43" ht="21" customHeight="1">
      <c r="A48" s="1290" t="s">
        <v>243</v>
      </c>
      <c r="B48" s="1290" t="s">
        <v>244</v>
      </c>
      <c r="C48" s="1290" t="s">
        <v>245</v>
      </c>
      <c r="D48" s="1290" t="s">
        <v>500</v>
      </c>
      <c r="E48" s="2220"/>
      <c r="F48" s="2220"/>
      <c r="G48" s="2220"/>
      <c r="H48" s="2220"/>
      <c r="I48" s="2222"/>
      <c r="J48" s="2221"/>
      <c r="K48" s="1290"/>
      <c r="L48" s="1291"/>
      <c r="P48" s="2223"/>
      <c r="Q48" s="2223"/>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243</v>
      </c>
      <c r="B49" s="1290" t="s">
        <v>244</v>
      </c>
      <c r="C49" s="1290" t="s">
        <v>245</v>
      </c>
      <c r="D49" s="1290" t="s">
        <v>500</v>
      </c>
      <c r="E49" s="2220"/>
      <c r="F49" s="2220"/>
      <c r="G49" s="2220"/>
      <c r="H49" s="2220"/>
      <c r="I49" s="2221"/>
      <c r="J49" s="1290"/>
      <c r="K49" s="1290"/>
      <c r="L49" s="1291"/>
      <c r="P49" s="2223"/>
      <c r="Q49" s="1377"/>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243</v>
      </c>
      <c r="B50" s="1290" t="s">
        <v>244</v>
      </c>
      <c r="C50" s="1290" t="s">
        <v>245</v>
      </c>
      <c r="D50" s="1290" t="s">
        <v>500</v>
      </c>
      <c r="E50" s="2220"/>
      <c r="F50" s="2220"/>
      <c r="G50" s="2220"/>
      <c r="H50" s="2219"/>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243</v>
      </c>
      <c r="B51" s="1270" t="s">
        <v>244</v>
      </c>
      <c r="C51" s="1241"/>
      <c r="D51" s="1241"/>
      <c r="E51" s="2220"/>
      <c r="F51" s="2219"/>
      <c r="G51" s="1241"/>
      <c r="H51" s="1241"/>
      <c r="I51" s="1241"/>
      <c r="J51" s="1241"/>
      <c r="K51" s="1241"/>
      <c r="L51" s="1385"/>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243</v>
      </c>
      <c r="B52" s="1270"/>
      <c r="C52" s="1270"/>
      <c r="D52" s="1270"/>
      <c r="E52" s="2219"/>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8"/>
      <c r="U55" s="2218"/>
      <c r="V55" s="2218"/>
      <c r="W55" s="2218"/>
      <c r="X55" s="2218"/>
      <c r="Y55" s="2218"/>
      <c r="Z55" s="2218"/>
      <c r="AA55" s="2218"/>
      <c r="AB55" s="2218"/>
      <c r="AC55" s="2218"/>
      <c r="AD55" s="2218"/>
      <c r="AE55" s="2218"/>
      <c r="AF55" s="2218"/>
      <c r="AG55" s="2218"/>
      <c r="AH55" s="2218"/>
      <c r="AI55" s="2218"/>
      <c r="AJ55" s="2218"/>
      <c r="AK55" s="2218"/>
      <c r="AQ55" s="1082">
        <v>14</v>
      </c>
    </row>
    <row r="56" spans="1:43" ht="14.65" customHeight="1">
      <c r="O56" s="474"/>
      <c r="AQ56" s="1082">
        <v>14</v>
      </c>
    </row>
    <row r="57" spans="1:43" ht="14.65" customHeight="1">
      <c r="O57" s="474"/>
      <c r="S57" s="1180"/>
      <c r="T57" s="2218"/>
      <c r="U57" s="2218"/>
      <c r="V57" s="2218"/>
      <c r="W57" s="2218"/>
      <c r="X57" s="2218"/>
      <c r="Y57" s="2218"/>
      <c r="Z57" s="2218"/>
      <c r="AA57" s="2218"/>
      <c r="AB57" s="2218"/>
      <c r="AC57" s="2218"/>
      <c r="AD57" s="2218"/>
      <c r="AE57" s="2218"/>
      <c r="AF57" s="2218"/>
      <c r="AG57" s="2218"/>
      <c r="AH57" s="2218"/>
      <c r="AI57" s="2218"/>
      <c r="AJ57" s="2218"/>
      <c r="AK57" s="221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2" hidden="1" customWidth="1"/>
    <col min="13" max="15" width="10.140625" style="2017"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45">
        <v>1</v>
      </c>
      <c r="F2" s="1194"/>
      <c r="G2" s="1194"/>
      <c r="H2" s="1194"/>
      <c r="I2" s="1194"/>
      <c r="J2" s="1194"/>
      <c r="K2" s="1194"/>
      <c r="L2" s="1237"/>
      <c r="M2" s="1537"/>
      <c r="N2" s="1537"/>
      <c r="O2" s="1537"/>
      <c r="P2" s="1336"/>
      <c r="Q2" s="804"/>
      <c r="R2" s="292"/>
      <c r="S2" s="1881" t="e">
        <f>INDEX(PT_DIFFERENTIATION_NUM_NTAR,MATCH(A2,PT_DIFFERENTIATION_NTAR_ID,0))</f>
        <v>#N/A</v>
      </c>
      <c r="T2" s="1452" t="s">
        <v>127</v>
      </c>
      <c r="U2" s="237"/>
      <c r="V2" s="2214"/>
      <c r="W2" s="2214"/>
      <c r="X2" s="2214"/>
      <c r="Y2" s="2214"/>
      <c r="Z2" s="2214"/>
      <c r="AA2" s="2215"/>
      <c r="AB2" s="1875"/>
      <c r="AC2" s="2214" t="e">
        <f>INDEX(PT_DIFFERENTIATION_NTAR,MATCH(A2,PT_DIFFERENTIATION_NTAR_ID,0))</f>
        <v>#N/A</v>
      </c>
      <c r="AD2" s="2214"/>
      <c r="AE2" s="2214"/>
      <c r="AF2" s="2214"/>
      <c r="AG2" s="2214"/>
      <c r="AH2" s="2214"/>
      <c r="AI2" s="2214"/>
      <c r="AJ2" s="2215"/>
      <c r="AK2" s="1185" t="s">
        <v>398</v>
      </c>
      <c r="AM2" s="1551"/>
      <c r="AN2" s="1551" t="str">
        <f t="shared" ref="AN2:AN14" si="0">IF(T2="","",T2)</f>
        <v>Наименование тарифа</v>
      </c>
      <c r="AO2" s="1551"/>
      <c r="AP2" s="1551"/>
      <c r="AQ2" s="1558">
        <v>0</v>
      </c>
    </row>
    <row r="3" spans="1:43" ht="21" hidden="1" customHeight="1">
      <c r="A3" s="1194"/>
      <c r="B3" s="1194"/>
      <c r="C3" s="1194"/>
      <c r="D3" s="1194"/>
      <c r="E3" s="2246"/>
      <c r="F3" s="2245">
        <v>1</v>
      </c>
      <c r="G3" s="1194"/>
      <c r="H3" s="1194"/>
      <c r="I3" s="1194"/>
      <c r="J3" s="1194"/>
      <c r="K3" s="1194"/>
      <c r="L3" s="1237"/>
      <c r="M3" s="1537"/>
      <c r="N3" s="1537"/>
      <c r="O3" s="1537"/>
      <c r="P3" s="1892"/>
      <c r="Q3" s="1338"/>
      <c r="R3" s="290"/>
      <c r="S3" s="1881" t="e">
        <f>INDEX(PT_DIFFERENTIATION_NUM_TER,MATCH(B3,PT_DIFFERENTIATION_TER_ID,0))</f>
        <v>#N/A</v>
      </c>
      <c r="T3" s="1449" t="s">
        <v>399</v>
      </c>
      <c r="U3" s="237"/>
      <c r="V3" s="2214"/>
      <c r="W3" s="2214"/>
      <c r="X3" s="2214"/>
      <c r="Y3" s="2214"/>
      <c r="Z3" s="2214"/>
      <c r="AA3" s="2215"/>
      <c r="AB3" s="1875"/>
      <c r="AC3" s="2214" t="e">
        <f>INDEX(PT_DIFFERENTIATION_TER,MATCH(B3,PT_DIFFERENTIATION_TER_ID,0))</f>
        <v>#N/A</v>
      </c>
      <c r="AD3" s="2214"/>
      <c r="AE3" s="2214"/>
      <c r="AF3" s="2214"/>
      <c r="AG3" s="2214"/>
      <c r="AH3" s="2214"/>
      <c r="AI3" s="2214"/>
      <c r="AJ3" s="2215"/>
      <c r="AK3" s="1185" t="s">
        <v>400</v>
      </c>
      <c r="AM3" s="1551"/>
      <c r="AN3" s="1551" t="str">
        <f t="shared" si="0"/>
        <v>Территория действия тарифа</v>
      </c>
      <c r="AO3" s="1551"/>
      <c r="AP3" s="1551"/>
      <c r="AQ3" s="1558">
        <v>0</v>
      </c>
    </row>
    <row r="4" spans="1:43" ht="22.5" hidden="1" customHeight="1">
      <c r="A4" s="1194"/>
      <c r="B4" s="1194"/>
      <c r="C4" s="1194"/>
      <c r="D4" s="1194"/>
      <c r="E4" s="2246"/>
      <c r="F4" s="2246"/>
      <c r="G4" s="2245">
        <v>1</v>
      </c>
      <c r="H4" s="1194"/>
      <c r="I4" s="1194"/>
      <c r="J4" s="1194"/>
      <c r="K4" s="1194"/>
      <c r="L4" s="1237"/>
      <c r="M4" s="1537"/>
      <c r="N4" s="1537"/>
      <c r="O4" s="1537"/>
      <c r="P4" s="1339"/>
      <c r="Q4" s="1338"/>
      <c r="R4" s="290"/>
      <c r="S4" s="1881" t="e">
        <f>INDEX(PT_DIFFERENTIATION_NUM_CS,MATCH(C4,PT_DIFFERENTIATION_CS_ID,0))</f>
        <v>#N/A</v>
      </c>
      <c r="T4" s="246" t="s">
        <v>401</v>
      </c>
      <c r="U4" s="237"/>
      <c r="V4" s="2214"/>
      <c r="W4" s="2214"/>
      <c r="X4" s="2214"/>
      <c r="Y4" s="2214"/>
      <c r="Z4" s="2214"/>
      <c r="AA4" s="2215"/>
      <c r="AB4" s="1875"/>
      <c r="AC4" s="2214" t="e">
        <f>INDEX(PT_DIFFERENTIATION_CS,MATCH(C4,PT_DIFFERENTIATION_CS_ID,0))</f>
        <v>#N/A</v>
      </c>
      <c r="AD4" s="2214"/>
      <c r="AE4" s="2214"/>
      <c r="AF4" s="2214"/>
      <c r="AG4" s="2214"/>
      <c r="AH4" s="2214"/>
      <c r="AI4" s="2214"/>
      <c r="AJ4" s="2215"/>
      <c r="AK4" s="1185" t="s">
        <v>402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46"/>
      <c r="F5" s="2246"/>
      <c r="G5" s="2246"/>
      <c r="H5" s="2245">
        <v>1</v>
      </c>
      <c r="I5" s="1194"/>
      <c r="J5" s="1194"/>
      <c r="K5" s="1194"/>
      <c r="L5" s="1237"/>
      <c r="M5" s="1537"/>
      <c r="N5" s="1537"/>
      <c r="O5" s="1537"/>
      <c r="P5" s="1339"/>
      <c r="Q5" s="1338"/>
      <c r="R5" s="290"/>
      <c r="S5" s="1881" t="e">
        <f>INDEX(PT_DIFFERENTIATION_NUM_IST_TE,MATCH(D5,PT_DIFFERENTIATION_IST_TE_ID,0))</f>
        <v>#N/A</v>
      </c>
      <c r="T5" s="247" t="s">
        <v>403</v>
      </c>
      <c r="U5" s="237"/>
      <c r="V5" s="2214"/>
      <c r="W5" s="2214"/>
      <c r="X5" s="2214"/>
      <c r="Y5" s="2214"/>
      <c r="Z5" s="2214"/>
      <c r="AA5" s="2215"/>
      <c r="AB5" s="1875"/>
      <c r="AC5" s="2214" t="e">
        <f>INDEX(PT_DIFFERENTIATION_IST_TE,MATCH(D5,PT_DIFFERENTIATION_IST_TE_ID,0))</f>
        <v>#N/A</v>
      </c>
      <c r="AD5" s="2214"/>
      <c r="AE5" s="2214"/>
      <c r="AF5" s="2214"/>
      <c r="AG5" s="2214"/>
      <c r="AH5" s="2214"/>
      <c r="AI5" s="2214"/>
      <c r="AJ5" s="2215"/>
      <c r="AK5" s="1185" t="s">
        <v>404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46"/>
      <c r="F6" s="2246"/>
      <c r="G6" s="2246"/>
      <c r="H6" s="2246"/>
      <c r="I6" s="2091" t="e">
        <f>S5&amp;".1"</f>
        <v>#N/A</v>
      </c>
      <c r="J6" s="1302"/>
      <c r="K6" s="1302"/>
      <c r="L6" s="1308" t="s">
        <v>405</v>
      </c>
      <c r="M6" s="1173"/>
      <c r="N6" s="1173"/>
      <c r="O6" s="1173"/>
      <c r="P6" s="2223">
        <v>1</v>
      </c>
      <c r="Q6" s="1877"/>
      <c r="R6" s="293"/>
      <c r="S6" s="972"/>
      <c r="T6" s="1310"/>
      <c r="U6" s="1311"/>
      <c r="V6" s="2251"/>
      <c r="W6" s="2251"/>
      <c r="X6" s="2251"/>
      <c r="Y6" s="2251"/>
      <c r="Z6" s="2251"/>
      <c r="AA6" s="2252"/>
      <c r="AB6" s="1883"/>
      <c r="AC6" s="2251"/>
      <c r="AD6" s="2251"/>
      <c r="AE6" s="2251"/>
      <c r="AF6" s="2251"/>
      <c r="AG6" s="2251"/>
      <c r="AH6" s="2251"/>
      <c r="AI6" s="2251"/>
      <c r="AJ6" s="2252"/>
      <c r="AK6" s="1312"/>
      <c r="AM6" s="1551"/>
      <c r="AN6" s="1551" t="str">
        <f t="shared" si="0"/>
        <v/>
      </c>
      <c r="AO6" s="1551"/>
      <c r="AP6" s="1551"/>
      <c r="AQ6" s="1563">
        <v>0</v>
      </c>
    </row>
    <row r="7" spans="1:43" s="1569" customFormat="1" ht="0.75" hidden="1" customHeight="1">
      <c r="A7" s="1302"/>
      <c r="B7" s="1302"/>
      <c r="C7" s="1302"/>
      <c r="D7" s="1302"/>
      <c r="E7" s="2246"/>
      <c r="F7" s="2246"/>
      <c r="G7" s="2246"/>
      <c r="H7" s="2246"/>
      <c r="I7" s="2073"/>
      <c r="J7" s="2091" t="e">
        <f>S5&amp;".1"</f>
        <v>#N/A</v>
      </c>
      <c r="K7" s="1302"/>
      <c r="L7" s="1308"/>
      <c r="M7" s="1173"/>
      <c r="N7" s="1173"/>
      <c r="O7" s="1173"/>
      <c r="P7" s="2223"/>
      <c r="Q7" s="2223">
        <v>1</v>
      </c>
      <c r="R7" s="294"/>
      <c r="S7" s="972"/>
      <c r="T7" s="1326"/>
      <c r="U7" s="1311"/>
      <c r="V7" s="2251"/>
      <c r="W7" s="2251"/>
      <c r="X7" s="2251"/>
      <c r="Y7" s="2251"/>
      <c r="Z7" s="2251"/>
      <c r="AA7" s="2252"/>
      <c r="AB7" s="1883"/>
      <c r="AC7" s="2251"/>
      <c r="AD7" s="2251"/>
      <c r="AE7" s="2251"/>
      <c r="AF7" s="2251"/>
      <c r="AG7" s="2251"/>
      <c r="AH7" s="2251"/>
      <c r="AI7" s="2251"/>
      <c r="AJ7" s="2252"/>
      <c r="AK7" s="1312"/>
      <c r="AM7" s="1551"/>
      <c r="AN7" s="1551" t="str">
        <f t="shared" si="0"/>
        <v/>
      </c>
      <c r="AO7" s="1551"/>
      <c r="AP7" s="1551"/>
      <c r="AQ7" s="1563">
        <v>0</v>
      </c>
    </row>
    <row r="8" spans="1:43" ht="21" hidden="1" customHeight="1">
      <c r="A8" s="1194"/>
      <c r="B8" s="1194"/>
      <c r="C8" s="1194"/>
      <c r="D8" s="1194"/>
      <c r="E8" s="2246"/>
      <c r="F8" s="2246"/>
      <c r="G8" s="2246"/>
      <c r="H8" s="2246"/>
      <c r="I8" s="2073"/>
      <c r="J8" s="2073"/>
      <c r="K8" s="1914" t="e">
        <f>S5&amp;".1"</f>
        <v>#N/A</v>
      </c>
      <c r="L8" s="1237"/>
      <c r="P8" s="2223"/>
      <c r="Q8" s="2223"/>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42" t="s">
        <v>466</v>
      </c>
      <c r="AL8" s="1563" t="e">
        <f ca="1">STRCHECKDATE(#REF!)</f>
        <v>#NAME?</v>
      </c>
      <c r="AM8" s="1551"/>
      <c r="AN8" s="1551" t="str">
        <f t="shared" si="0"/>
        <v/>
      </c>
      <c r="AO8" s="1551"/>
      <c r="AP8" s="1551"/>
      <c r="AQ8" s="1558">
        <v>0</v>
      </c>
    </row>
    <row r="9" spans="1:43" ht="11.25" hidden="1" customHeight="1">
      <c r="A9" s="1194"/>
      <c r="B9" s="1194"/>
      <c r="C9" s="1194"/>
      <c r="D9" s="1194"/>
      <c r="E9" s="2246"/>
      <c r="F9" s="2246"/>
      <c r="G9" s="2246"/>
      <c r="H9" s="2246"/>
      <c r="I9" s="2073"/>
      <c r="J9" s="2091"/>
      <c r="K9" s="1194"/>
      <c r="L9" s="1237"/>
      <c r="P9" s="2223"/>
      <c r="Q9" s="2223"/>
      <c r="R9" s="293"/>
      <c r="S9" s="1205"/>
      <c r="T9" s="224" t="s">
        <v>470</v>
      </c>
      <c r="U9" s="537"/>
      <c r="V9" s="537"/>
      <c r="W9" s="537"/>
      <c r="X9" s="537"/>
      <c r="Y9" s="537"/>
      <c r="Z9" s="537"/>
      <c r="AA9" s="537"/>
      <c r="AB9" s="537"/>
      <c r="AC9" s="537"/>
      <c r="AD9" s="537"/>
      <c r="AE9" s="537"/>
      <c r="AF9" s="537"/>
      <c r="AG9" s="537"/>
      <c r="AH9" s="537"/>
      <c r="AI9" s="537"/>
      <c r="AJ9" s="261"/>
      <c r="AK9" s="2244"/>
      <c r="AM9" s="1551"/>
      <c r="AN9" s="1551" t="str">
        <f t="shared" si="0"/>
        <v>Добавить строку</v>
      </c>
      <c r="AO9" s="1551"/>
      <c r="AP9" s="1551"/>
      <c r="AQ9" s="1558">
        <v>0</v>
      </c>
    </row>
    <row r="10" spans="1:43" s="1569" customFormat="1" ht="0.75" hidden="1" customHeight="1">
      <c r="A10" s="1302"/>
      <c r="B10" s="1302"/>
      <c r="C10" s="1302"/>
      <c r="D10" s="1302"/>
      <c r="E10" s="2246"/>
      <c r="F10" s="2246"/>
      <c r="G10" s="2246"/>
      <c r="H10" s="2246"/>
      <c r="I10" s="2091"/>
      <c r="J10" s="1302"/>
      <c r="K10" s="1302"/>
      <c r="L10" s="1308"/>
      <c r="M10" s="1173"/>
      <c r="N10" s="1173"/>
      <c r="O10" s="1173"/>
      <c r="P10" s="2223"/>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46"/>
      <c r="F11" s="2246"/>
      <c r="G11" s="2246"/>
      <c r="H11" s="224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46"/>
      <c r="F12" s="2246"/>
      <c r="G12" s="2245"/>
      <c r="H12" s="1301"/>
      <c r="I12" s="1301"/>
      <c r="J12" s="1301"/>
      <c r="K12" s="1301"/>
      <c r="L12" s="1304"/>
      <c r="M12" s="1305"/>
      <c r="N12" s="1305"/>
      <c r="O12" s="288"/>
      <c r="P12" s="1243"/>
      <c r="Q12" s="1244"/>
      <c r="R12" s="1243"/>
      <c r="S12" s="1249"/>
      <c r="T12" s="1252" t="s">
        <v>416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46"/>
      <c r="F13" s="2245"/>
      <c r="G13" s="1301"/>
      <c r="H13" s="1301"/>
      <c r="I13" s="1301"/>
      <c r="J13" s="1301"/>
      <c r="K13" s="1301"/>
      <c r="L13" s="1304"/>
      <c r="M13" s="1306"/>
      <c r="N13" s="1306"/>
      <c r="O13" s="288"/>
      <c r="P13" s="1243"/>
      <c r="Q13" s="1244"/>
      <c r="R13" s="1243"/>
      <c r="S13" s="1249"/>
      <c r="T13" s="1252" t="s">
        <v>417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45"/>
      <c r="F14" s="1302"/>
      <c r="G14" s="1302"/>
      <c r="H14" s="1302"/>
      <c r="I14" s="1302"/>
      <c r="J14" s="1302"/>
      <c r="K14" s="1302"/>
      <c r="L14" s="1308"/>
      <c r="M14" s="1306"/>
      <c r="N14" s="1306"/>
      <c r="O14" s="288"/>
      <c r="P14" s="317"/>
      <c r="Q14" s="1271"/>
      <c r="R14" s="317"/>
      <c r="S14" s="1249"/>
      <c r="T14" s="1252" t="s">
        <v>418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420</v>
      </c>
      <c r="P20" s="1435"/>
      <c r="Q20" s="1437"/>
      <c r="R20" s="1437"/>
      <c r="Y20" s="1434" t="s">
        <v>422</v>
      </c>
      <c r="AA20" s="1434" t="s">
        <v>423</v>
      </c>
      <c r="AC20" s="1434" t="s">
        <v>472</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0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00"/>
      <c r="U24" s="2200"/>
      <c r="V24" s="2200"/>
      <c r="W24" s="2200"/>
      <c r="X24" s="2200"/>
      <c r="Y24" s="2200"/>
      <c r="Z24" s="2200"/>
      <c r="AA24" s="2200"/>
      <c r="AB24" s="2200"/>
      <c r="AC24" s="2200"/>
      <c r="AD24" s="2200"/>
      <c r="AE24" s="2200"/>
      <c r="AF24" s="2200"/>
      <c r="AG24" s="2200"/>
      <c r="AH24" s="2200"/>
      <c r="AI24" s="1170"/>
      <c r="AQ24" s="1558">
        <v>38</v>
      </c>
    </row>
    <row r="25" spans="1:43" ht="14.65" customHeight="1">
      <c r="Q25" s="228"/>
      <c r="R25" s="313"/>
      <c r="S25" s="2172" t="str">
        <f>IF(org=0,"Не определено",org)</f>
        <v>МУП "Михайловское водопроводно-канализационное хозяйство"</v>
      </c>
      <c r="T25" s="2172"/>
      <c r="U25" s="2172"/>
      <c r="V25" s="2172"/>
      <c r="W25" s="2172"/>
      <c r="X25" s="2172"/>
      <c r="Y25" s="2172"/>
      <c r="Z25" s="2172"/>
      <c r="AA25" s="2172"/>
      <c r="AB25" s="2172"/>
      <c r="AC25" s="2172"/>
      <c r="AD25" s="2172"/>
      <c r="AE25" s="2172"/>
      <c r="AF25" s="2172"/>
      <c r="AG25" s="2172"/>
      <c r="AH25" s="2172"/>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210" t="s">
        <v>42</v>
      </c>
      <c r="T27" s="2210"/>
      <c r="U27" s="1299"/>
      <c r="V27" s="2212" t="str">
        <f>IF(TITLE_NAME_OR_PR_CHANGE="",IF(TITLE_NAME_OR_PR="","",TITLE_NAME_OR_PR),TITLE_NAME_OR_PR_CHANGE)</f>
        <v/>
      </c>
      <c r="W27" s="2212"/>
      <c r="X27" s="2212"/>
      <c r="Y27" s="2212"/>
      <c r="Z27" s="2212"/>
      <c r="AA27" s="1562"/>
      <c r="AB27" s="1562"/>
      <c r="AC27" s="2212"/>
      <c r="AD27" s="2212"/>
      <c r="AE27" s="2212"/>
      <c r="AF27" s="2212"/>
      <c r="AG27" s="2212"/>
      <c r="AH27" s="2212"/>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210" t="s">
        <v>425</v>
      </c>
      <c r="T28" s="2210"/>
      <c r="U28" s="1299"/>
      <c r="V28" s="2211" t="str">
        <f>IF(TITLE_DATE_PR_CHANGE="",IF(TITLE_DATE_PR="","",TITLE_DATE_PR),TITLE_DATE_PR_CHANGE)</f>
        <v/>
      </c>
      <c r="W28" s="2211"/>
      <c r="X28" s="2211"/>
      <c r="Y28" s="2211"/>
      <c r="Z28" s="2211"/>
      <c r="AA28" s="1562"/>
      <c r="AB28" s="1562"/>
      <c r="AC28" s="2211"/>
      <c r="AD28" s="2211"/>
      <c r="AE28" s="2211"/>
      <c r="AF28" s="2211"/>
      <c r="AG28" s="2211"/>
      <c r="AH28" s="2211"/>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210" t="s">
        <v>426</v>
      </c>
      <c r="T29" s="2210"/>
      <c r="U29" s="1299"/>
      <c r="V29" s="2212" t="str">
        <f>IF(TITLE_NUMBER_PR_CHANGE="",IF(TITLE_NUMBER_PR="","",TITLE_NUMBER_PR),TITLE_NUMBER_PR_CHANGE)</f>
        <v/>
      </c>
      <c r="W29" s="2212"/>
      <c r="X29" s="2212"/>
      <c r="Y29" s="2212"/>
      <c r="Z29" s="2212"/>
      <c r="AA29" s="1562"/>
      <c r="AB29" s="1562"/>
      <c r="AC29" s="2212"/>
      <c r="AD29" s="2212"/>
      <c r="AE29" s="2212"/>
      <c r="AF29" s="2212"/>
      <c r="AG29" s="2212"/>
      <c r="AH29" s="2212"/>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210" t="s">
        <v>43</v>
      </c>
      <c r="T30" s="2210"/>
      <c r="U30" s="1299"/>
      <c r="V30" s="2212" t="str">
        <f>IF(TITLE_IST_PUB_CHANGE="",IF(TITLE_IST_PUB="","",TITLE_IST_PUB),TITLE_IST_PUB_CHANGE)</f>
        <v/>
      </c>
      <c r="W30" s="2212"/>
      <c r="X30" s="2212"/>
      <c r="Y30" s="2212"/>
      <c r="Z30" s="2212"/>
      <c r="AA30" s="1562"/>
      <c r="AB30" s="1562"/>
      <c r="AC30" s="2212"/>
      <c r="AD30" s="2212"/>
      <c r="AE30" s="2212"/>
      <c r="AF30" s="2212"/>
      <c r="AG30" s="2212"/>
      <c r="AH30" s="2212"/>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210" t="s">
        <v>425</v>
      </c>
      <c r="T32" s="2210"/>
      <c r="U32" s="1299"/>
      <c r="V32" s="2211" t="str">
        <f>IF(TITLE_DATE_PR_CHANGE="",IF(TITLE_DATE_PR="","",TITLE_DATE_PR),TITLE_DATE_PR_CHANGE)</f>
        <v/>
      </c>
      <c r="W32" s="2211"/>
      <c r="X32" s="2211"/>
      <c r="Y32" s="2211"/>
      <c r="Z32" s="2211"/>
      <c r="AA32" s="1562"/>
      <c r="AB32" s="1562"/>
      <c r="AC32" s="2211"/>
      <c r="AD32" s="2211"/>
      <c r="AE32" s="2211"/>
      <c r="AF32" s="2211"/>
      <c r="AG32" s="2211"/>
      <c r="AH32" s="2211"/>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210" t="s">
        <v>426</v>
      </c>
      <c r="T33" s="2210"/>
      <c r="U33" s="1299"/>
      <c r="V33" s="2212" t="str">
        <f>IF(TITLE_NUMBER_PR_CHANGE="",IF(TITLE_NUMBER_PR="","",TITLE_NUMBER_PR),TITLE_NUMBER_PR_CHANGE)</f>
        <v/>
      </c>
      <c r="W33" s="2212"/>
      <c r="X33" s="2212"/>
      <c r="Y33" s="2212"/>
      <c r="Z33" s="2212"/>
      <c r="AA33" s="1562"/>
      <c r="AB33" s="1562"/>
      <c r="AC33" s="2212"/>
      <c r="AD33" s="2212"/>
      <c r="AE33" s="2212"/>
      <c r="AF33" s="2212"/>
      <c r="AG33" s="2212"/>
      <c r="AH33" s="2212"/>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8"/>
      <c r="R35" s="313"/>
      <c r="S35" s="1202"/>
      <c r="T35" s="394"/>
      <c r="U35" s="1171"/>
      <c r="V35" s="2231"/>
      <c r="W35" s="2231"/>
      <c r="X35" s="2231"/>
      <c r="Y35" s="2231"/>
      <c r="Z35" s="2231"/>
      <c r="AA35" s="2231"/>
      <c r="AB35" s="1880"/>
      <c r="AC35" s="2231"/>
      <c r="AD35" s="2231"/>
      <c r="AE35" s="2231"/>
      <c r="AF35" s="2231"/>
      <c r="AG35" s="2231"/>
      <c r="AH35" s="2231"/>
      <c r="AI35" s="2231"/>
      <c r="AQ35" s="1558">
        <v>14</v>
      </c>
    </row>
    <row r="36" spans="1:43" ht="14.65" customHeight="1">
      <c r="Q36" s="228"/>
      <c r="R36" s="313"/>
      <c r="S36" s="2091" t="s">
        <v>302</v>
      </c>
      <c r="T36" s="2091"/>
      <c r="U36" s="2091"/>
      <c r="V36" s="2091"/>
      <c r="W36" s="2091"/>
      <c r="X36" s="2091"/>
      <c r="Y36" s="2091"/>
      <c r="Z36" s="2091"/>
      <c r="AA36" s="2150"/>
      <c r="AB36" s="2150"/>
      <c r="AC36" s="2150"/>
      <c r="AD36" s="2091"/>
      <c r="AE36" s="2091"/>
      <c r="AF36" s="2091"/>
      <c r="AG36" s="2091"/>
      <c r="AH36" s="2091"/>
      <c r="AI36" s="2091"/>
      <c r="AJ36" s="2091"/>
      <c r="AK36" s="2091" t="s">
        <v>303</v>
      </c>
      <c r="AQ36" s="1558">
        <v>14</v>
      </c>
    </row>
    <row r="37" spans="1:43" ht="14.65" customHeight="1">
      <c r="Q37" s="228"/>
      <c r="R37" s="313"/>
      <c r="S37" s="2232" t="s">
        <v>87</v>
      </c>
      <c r="T37" s="2180" t="s">
        <v>501</v>
      </c>
      <c r="U37" s="274"/>
      <c r="V37" s="2234"/>
      <c r="W37" s="2234"/>
      <c r="X37" s="2234"/>
      <c r="Y37" s="2234"/>
      <c r="Z37" s="2234"/>
      <c r="AA37" s="2180" t="s">
        <v>432</v>
      </c>
      <c r="AB37" s="2179" t="s">
        <v>502</v>
      </c>
      <c r="AC37" s="2179" t="s">
        <v>476</v>
      </c>
      <c r="AD37" s="2249" t="s">
        <v>431</v>
      </c>
      <c r="AE37" s="2249"/>
      <c r="AF37" s="2234"/>
      <c r="AG37" s="2234"/>
      <c r="AH37" s="2235"/>
      <c r="AI37" s="2236" t="s">
        <v>432</v>
      </c>
      <c r="AJ37" s="2239" t="s">
        <v>434</v>
      </c>
      <c r="AK37" s="2091"/>
      <c r="AQ37" s="1558">
        <v>14</v>
      </c>
    </row>
    <row r="38" spans="1:43" ht="35.65" customHeight="1">
      <c r="Q38" s="228"/>
      <c r="R38" s="313"/>
      <c r="S38" s="2232"/>
      <c r="T38" s="2180"/>
      <c r="U38" s="961"/>
      <c r="V38" s="2072" t="s">
        <v>479</v>
      </c>
      <c r="W38" s="2091"/>
      <c r="X38" s="2151" t="s">
        <v>438</v>
      </c>
      <c r="Y38" s="2261"/>
      <c r="Z38" s="2261"/>
      <c r="AA38" s="2180"/>
      <c r="AB38" s="2179"/>
      <c r="AC38" s="2179"/>
      <c r="AD38" s="2072" t="s">
        <v>479</v>
      </c>
      <c r="AE38" s="2091"/>
      <c r="AF38" s="2261" t="s">
        <v>438</v>
      </c>
      <c r="AG38" s="2261"/>
      <c r="AH38" s="2152"/>
      <c r="AI38" s="2237"/>
      <c r="AJ38" s="2240"/>
      <c r="AK38" s="2091"/>
      <c r="AQ38" s="1558">
        <v>34</v>
      </c>
    </row>
    <row r="39" spans="1:43" ht="14.65" customHeight="1">
      <c r="Q39" s="228"/>
      <c r="R39" s="313"/>
      <c r="S39" s="2232"/>
      <c r="T39" s="2180"/>
      <c r="U39" s="961"/>
      <c r="V39" s="2285" t="str">
        <f>IF($AD$39&lt;&gt;"",$AD$39,"")</f>
        <v/>
      </c>
      <c r="W39" s="2285"/>
      <c r="X39" s="2156"/>
      <c r="Y39" s="2262"/>
      <c r="Z39" s="2262"/>
      <c r="AA39" s="2180"/>
      <c r="AB39" s="2179"/>
      <c r="AC39" s="2179"/>
      <c r="AD39" s="2294"/>
      <c r="AE39" s="2284"/>
      <c r="AF39" s="2262"/>
      <c r="AG39" s="2262"/>
      <c r="AH39" s="2157"/>
      <c r="AI39" s="2237"/>
      <c r="AJ39" s="2240"/>
      <c r="AK39" s="2091"/>
      <c r="AQ39" s="1558">
        <v>14</v>
      </c>
    </row>
    <row r="40" spans="1:43" ht="14.65" customHeight="1">
      <c r="A40" s="1193"/>
      <c r="B40" s="1193" t="s">
        <v>139</v>
      </c>
      <c r="C40" s="1193" t="s">
        <v>140</v>
      </c>
      <c r="D40" s="1193" t="s">
        <v>141</v>
      </c>
      <c r="E40" s="1237" t="s">
        <v>439</v>
      </c>
      <c r="F40" s="1237" t="s">
        <v>440</v>
      </c>
      <c r="G40" s="1237" t="s">
        <v>441</v>
      </c>
      <c r="H40" s="1237" t="s">
        <v>442</v>
      </c>
      <c r="I40" s="1237" t="s">
        <v>443</v>
      </c>
      <c r="J40" s="1237" t="s">
        <v>444</v>
      </c>
      <c r="K40" s="1237" t="s">
        <v>445</v>
      </c>
      <c r="L40" s="1237" t="s">
        <v>420</v>
      </c>
      <c r="Q40" s="228"/>
      <c r="R40" s="313"/>
      <c r="S40" s="2232"/>
      <c r="T40" s="2180"/>
      <c r="U40" s="239"/>
      <c r="V40" s="1873" t="s">
        <v>480</v>
      </c>
      <c r="W40" s="1873" t="s">
        <v>481</v>
      </c>
      <c r="X40" s="1861" t="s">
        <v>448</v>
      </c>
      <c r="Y40" s="2185" t="s">
        <v>449</v>
      </c>
      <c r="Z40" s="2198"/>
      <c r="AA40" s="2180"/>
      <c r="AB40" s="2179"/>
      <c r="AC40" s="2179"/>
      <c r="AD40" s="1891" t="s">
        <v>480</v>
      </c>
      <c r="AE40" s="1882" t="s">
        <v>481</v>
      </c>
      <c r="AF40" s="1861" t="s">
        <v>448</v>
      </c>
      <c r="AG40" s="2185" t="s">
        <v>449</v>
      </c>
      <c r="AH40" s="2199"/>
      <c r="AI40" s="2238"/>
      <c r="AJ40" s="2241"/>
      <c r="AK40" s="2091"/>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230">
        <f ca="1">OFFSET(Y41,0,-1)+1</f>
        <v>6</v>
      </c>
      <c r="Z41" s="2230"/>
      <c r="AA41" s="1268">
        <f ca="1">OFFSET(AA41,0,-2)+1</f>
        <v>7</v>
      </c>
      <c r="AB41" s="1268"/>
      <c r="AC41" s="1268"/>
      <c r="AD41" s="1879">
        <f ca="1">OFFSET(AD41,0,-1)+1</f>
        <v>1</v>
      </c>
      <c r="AE41" s="1879">
        <f ca="1">OFFSET(AE41,0,-1)+1</f>
        <v>2</v>
      </c>
      <c r="AF41" s="1879">
        <f ca="1">OFFSET(AF41,0,-1)+1</f>
        <v>3</v>
      </c>
      <c r="AG41" s="2230">
        <f ca="1">OFFSET(AG41,0,-1)+1</f>
        <v>4</v>
      </c>
      <c r="AH41" s="2230"/>
      <c r="AI41" s="1879">
        <f ca="1">OFFSET(AI41,0,-2)+1</f>
        <v>5</v>
      </c>
      <c r="AJ41" s="1172">
        <f ca="1">OFFSET(AJ41,0,-1)</f>
        <v>5</v>
      </c>
      <c r="AK41" s="1879">
        <f ca="1">OFFSET(AK41,0,-1)+1</f>
        <v>6</v>
      </c>
      <c r="AL41" s="1563"/>
      <c r="AM41" s="1563"/>
      <c r="AN41" s="1563"/>
      <c r="AO41" s="1563"/>
      <c r="AP41" s="1563"/>
      <c r="AQ41" s="1568">
        <v>0</v>
      </c>
    </row>
    <row r="42" spans="1:43" ht="107.25" customHeight="1">
      <c r="A42" s="1194" t="s">
        <v>208</v>
      </c>
      <c r="B42" s="1194"/>
      <c r="C42" s="1194"/>
      <c r="D42" s="1194"/>
      <c r="E42" s="2245">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127</v>
      </c>
      <c r="U42" s="237"/>
      <c r="V42" s="2214"/>
      <c r="W42" s="2214"/>
      <c r="X42" s="2214"/>
      <c r="Y42" s="2214"/>
      <c r="Z42" s="2214"/>
      <c r="AA42" s="2215"/>
      <c r="AB42" s="1875"/>
      <c r="AC42" s="2214" t="str">
        <f>INDEX(PT_DIFFERENTIATION_NTAR,MATCH(A42,PT_DIFFERENTIATION_NTAR_ID,0))</f>
        <v/>
      </c>
      <c r="AD42" s="2214"/>
      <c r="AE42" s="2214"/>
      <c r="AF42" s="2214"/>
      <c r="AG42" s="2214"/>
      <c r="AH42" s="2214"/>
      <c r="AI42" s="2214"/>
      <c r="AJ42" s="221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46"/>
      <c r="F43" s="2245">
        <v>1</v>
      </c>
      <c r="G43" s="1194"/>
      <c r="H43" s="1194"/>
      <c r="I43" s="1194"/>
      <c r="J43" s="1194"/>
      <c r="K43" s="1194"/>
      <c r="L43" s="1237"/>
      <c r="M43" s="1537"/>
      <c r="N43" s="1537"/>
      <c r="O43" s="1537"/>
      <c r="P43" s="1892"/>
      <c r="Q43" s="1338"/>
      <c r="R43" s="290"/>
      <c r="S43" s="1881" t="str">
        <f>INDEX(PT_DIFFERENTIATION_NUM_TER,MATCH(B43,PT_DIFFERENTIATION_TER_ID,0))</f>
        <v>.</v>
      </c>
      <c r="T43" s="1449" t="s">
        <v>399</v>
      </c>
      <c r="U43" s="237"/>
      <c r="V43" s="2214"/>
      <c r="W43" s="2214"/>
      <c r="X43" s="2214"/>
      <c r="Y43" s="2214"/>
      <c r="Z43" s="2214"/>
      <c r="AA43" s="2215"/>
      <c r="AB43" s="1875"/>
      <c r="AC43" s="2214" t="str">
        <f>INDEX(PT_DIFFERENTIATION_TER,MATCH(B43,PT_DIFFERENTIATION_TER_ID,0))</f>
        <v/>
      </c>
      <c r="AD43" s="2214"/>
      <c r="AE43" s="2214"/>
      <c r="AF43" s="2214"/>
      <c r="AG43" s="2214"/>
      <c r="AH43" s="2214"/>
      <c r="AI43" s="2214"/>
      <c r="AJ43" s="2215"/>
      <c r="AK43" s="1185" t="s">
        <v>400</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46"/>
      <c r="F44" s="2246"/>
      <c r="G44" s="2245">
        <v>1</v>
      </c>
      <c r="H44" s="1194"/>
      <c r="I44" s="1194"/>
      <c r="J44" s="1194"/>
      <c r="K44" s="1194"/>
      <c r="L44" s="1237"/>
      <c r="M44" s="1537"/>
      <c r="N44" s="1537"/>
      <c r="O44" s="1537"/>
      <c r="P44" s="1339"/>
      <c r="Q44" s="1338"/>
      <c r="R44" s="290"/>
      <c r="S44" s="1881" t="str">
        <f>INDEX(PT_DIFFERENTIATION_NUM_CS,MATCH(C44,PT_DIFFERENTIATION_CS_ID,0))</f>
        <v>..</v>
      </c>
      <c r="T44" s="246" t="s">
        <v>401</v>
      </c>
      <c r="U44" s="237"/>
      <c r="V44" s="2214"/>
      <c r="W44" s="2214"/>
      <c r="X44" s="2214"/>
      <c r="Y44" s="2214"/>
      <c r="Z44" s="2214"/>
      <c r="AA44" s="2215"/>
      <c r="AB44" s="1875"/>
      <c r="AC44" s="2214" t="str">
        <f>INDEX(PT_DIFFERENTIATION_CS,MATCH(C44,PT_DIFFERENTIATION_CS_ID,0))</f>
        <v/>
      </c>
      <c r="AD44" s="2214"/>
      <c r="AE44" s="2214"/>
      <c r="AF44" s="2214"/>
      <c r="AG44" s="2214"/>
      <c r="AH44" s="2214"/>
      <c r="AI44" s="2214"/>
      <c r="AJ44" s="2215"/>
      <c r="AK44" s="1185" t="s">
        <v>402</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46"/>
      <c r="F45" s="2246"/>
      <c r="G45" s="2246"/>
      <c r="H45" s="2245">
        <v>1</v>
      </c>
      <c r="I45" s="1194"/>
      <c r="J45" s="1194"/>
      <c r="K45" s="1194"/>
      <c r="L45" s="1237"/>
      <c r="M45" s="1537"/>
      <c r="N45" s="1537"/>
      <c r="O45" s="1537"/>
      <c r="P45" s="1339"/>
      <c r="Q45" s="1338"/>
      <c r="R45" s="290"/>
      <c r="S45" s="1881" t="str">
        <f>INDEX(PT_DIFFERENTIATION_NUM_IST_TE,MATCH(D45,PT_DIFFERENTIATION_IST_TE_ID,0))</f>
        <v>...</v>
      </c>
      <c r="T45" s="247" t="s">
        <v>403</v>
      </c>
      <c r="U45" s="237"/>
      <c r="V45" s="2214"/>
      <c r="W45" s="2214"/>
      <c r="X45" s="2214"/>
      <c r="Y45" s="2214"/>
      <c r="Z45" s="2214"/>
      <c r="AA45" s="2215"/>
      <c r="AB45" s="1875"/>
      <c r="AC45" s="2214" t="str">
        <f>INDEX(PT_DIFFERENTIATION_IST_TE,MATCH(D45,PT_DIFFERENTIATION_IST_TE_ID,0))</f>
        <v/>
      </c>
      <c r="AD45" s="2214"/>
      <c r="AE45" s="2214"/>
      <c r="AF45" s="2214"/>
      <c r="AG45" s="2214"/>
      <c r="AH45" s="2214"/>
      <c r="AI45" s="2214"/>
      <c r="AJ45" s="2215"/>
      <c r="AK45" s="1185" t="s">
        <v>404</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46"/>
      <c r="F46" s="2246"/>
      <c r="G46" s="2246"/>
      <c r="H46" s="2246"/>
      <c r="I46" s="2091" t="str">
        <f>S45&amp;".1"</f>
        <v>....1</v>
      </c>
      <c r="J46" s="1302"/>
      <c r="K46" s="1302"/>
      <c r="L46" s="1308" t="s">
        <v>405</v>
      </c>
      <c r="M46" s="1173"/>
      <c r="N46" s="1173"/>
      <c r="O46" s="1173"/>
      <c r="P46" s="2223">
        <v>1</v>
      </c>
      <c r="Q46" s="1877"/>
      <c r="R46" s="293"/>
      <c r="S46" s="972"/>
      <c r="T46" s="1310"/>
      <c r="U46" s="1311"/>
      <c r="V46" s="2251"/>
      <c r="W46" s="2251"/>
      <c r="X46" s="2251"/>
      <c r="Y46" s="2251"/>
      <c r="Z46" s="2251"/>
      <c r="AA46" s="2252"/>
      <c r="AB46" s="1883"/>
      <c r="AC46" s="2251"/>
      <c r="AD46" s="2251"/>
      <c r="AE46" s="2251"/>
      <c r="AF46" s="2251"/>
      <c r="AG46" s="2251"/>
      <c r="AH46" s="2251"/>
      <c r="AI46" s="2251"/>
      <c r="AJ46" s="2252"/>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46"/>
      <c r="F47" s="2246"/>
      <c r="G47" s="2246"/>
      <c r="H47" s="2246"/>
      <c r="I47" s="2073"/>
      <c r="J47" s="2091" t="str">
        <f>S45&amp;".1"</f>
        <v>....1</v>
      </c>
      <c r="K47" s="1302"/>
      <c r="L47" s="1308"/>
      <c r="M47" s="1173"/>
      <c r="N47" s="1173"/>
      <c r="O47" s="1173"/>
      <c r="P47" s="2223"/>
      <c r="Q47" s="2223">
        <v>1</v>
      </c>
      <c r="R47" s="294"/>
      <c r="S47" s="972"/>
      <c r="T47" s="1326"/>
      <c r="U47" s="1311"/>
      <c r="V47" s="2251"/>
      <c r="W47" s="2251"/>
      <c r="X47" s="2251"/>
      <c r="Y47" s="2251"/>
      <c r="Z47" s="2251"/>
      <c r="AA47" s="2252"/>
      <c r="AB47" s="1883"/>
      <c r="AC47" s="2251"/>
      <c r="AD47" s="2251"/>
      <c r="AE47" s="2251"/>
      <c r="AF47" s="2251"/>
      <c r="AG47" s="2251"/>
      <c r="AH47" s="2251"/>
      <c r="AI47" s="2251"/>
      <c r="AJ47" s="2252"/>
      <c r="AK47" s="1312"/>
      <c r="AM47" s="1551"/>
      <c r="AN47" s="1551" t="str">
        <f t="shared" si="1"/>
        <v/>
      </c>
      <c r="AO47" s="1551"/>
      <c r="AP47" s="1551"/>
      <c r="AQ47" s="1563">
        <v>0</v>
      </c>
    </row>
    <row r="48" spans="1:43" ht="21.95" customHeight="1">
      <c r="A48" s="1194" t="s">
        <v>208</v>
      </c>
      <c r="B48" s="1194" t="s">
        <v>209</v>
      </c>
      <c r="C48" s="1194" t="s">
        <v>210</v>
      </c>
      <c r="D48" s="1194" t="s">
        <v>211</v>
      </c>
      <c r="E48" s="2246"/>
      <c r="F48" s="2246"/>
      <c r="G48" s="2246"/>
      <c r="H48" s="2246"/>
      <c r="I48" s="2073"/>
      <c r="J48" s="2073"/>
      <c r="K48" s="1864" t="str">
        <f>S45&amp;".1"</f>
        <v>....1</v>
      </c>
      <c r="L48" s="1237"/>
      <c r="P48" s="2223"/>
      <c r="Q48" s="2223"/>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42" t="s">
        <v>482</v>
      </c>
      <c r="AL48" s="1563" t="e">
        <f ca="1">STRCHECKDATE(#REF!)</f>
        <v>#NAME?</v>
      </c>
      <c r="AM48" s="1551"/>
      <c r="AN48" s="1551" t="str">
        <f t="shared" si="1"/>
        <v/>
      </c>
      <c r="AO48" s="1551"/>
      <c r="AP48" s="1551"/>
      <c r="AQ48" s="1558">
        <v>21</v>
      </c>
    </row>
    <row r="49" spans="1:43" ht="11.45" customHeight="1">
      <c r="A49" s="1194" t="s">
        <v>208</v>
      </c>
      <c r="B49" s="1194" t="s">
        <v>209</v>
      </c>
      <c r="C49" s="1194" t="s">
        <v>210</v>
      </c>
      <c r="D49" s="1194" t="s">
        <v>211</v>
      </c>
      <c r="E49" s="2246"/>
      <c r="F49" s="2246"/>
      <c r="G49" s="2246"/>
      <c r="H49" s="2246"/>
      <c r="I49" s="2073"/>
      <c r="J49" s="2091"/>
      <c r="K49" s="1194"/>
      <c r="L49" s="1237"/>
      <c r="P49" s="2223"/>
      <c r="Q49" s="2223"/>
      <c r="R49" s="293"/>
      <c r="S49" s="1205"/>
      <c r="T49" s="224" t="s">
        <v>470</v>
      </c>
      <c r="U49" s="537"/>
      <c r="V49" s="537"/>
      <c r="W49" s="537"/>
      <c r="X49" s="537"/>
      <c r="Y49" s="537"/>
      <c r="Z49" s="537"/>
      <c r="AA49" s="261"/>
      <c r="AB49" s="537"/>
      <c r="AC49" s="537"/>
      <c r="AD49" s="537"/>
      <c r="AE49" s="537"/>
      <c r="AF49" s="537"/>
      <c r="AG49" s="537"/>
      <c r="AH49" s="537"/>
      <c r="AI49" s="537"/>
      <c r="AJ49" s="261"/>
      <c r="AK49" s="2244"/>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46"/>
      <c r="F50" s="2246"/>
      <c r="G50" s="2246"/>
      <c r="H50" s="2246"/>
      <c r="I50" s="2091"/>
      <c r="J50" s="1302"/>
      <c r="K50" s="1302"/>
      <c r="L50" s="1308"/>
      <c r="M50" s="1173"/>
      <c r="N50" s="1173"/>
      <c r="O50" s="1173"/>
      <c r="P50" s="2223"/>
      <c r="Q50" s="1877"/>
      <c r="R50" s="293"/>
      <c r="S50" s="1313"/>
      <c r="T50" s="1314" t="s">
        <v>414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46"/>
      <c r="F51" s="2246"/>
      <c r="G51" s="2246"/>
      <c r="H51" s="224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46"/>
      <c r="F52" s="2246"/>
      <c r="G52" s="2245"/>
      <c r="H52" s="1301"/>
      <c r="I52" s="1301"/>
      <c r="J52" s="1301"/>
      <c r="K52" s="1301"/>
      <c r="L52" s="1304"/>
      <c r="M52" s="1305"/>
      <c r="N52" s="1305"/>
      <c r="O52" s="288"/>
      <c r="P52" s="1243"/>
      <c r="Q52" s="1244"/>
      <c r="R52" s="1243"/>
      <c r="S52" s="1249"/>
      <c r="T52" s="1252" t="s">
        <v>416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46"/>
      <c r="F53" s="2245"/>
      <c r="G53" s="1301"/>
      <c r="H53" s="1301"/>
      <c r="I53" s="1301"/>
      <c r="J53" s="1301"/>
      <c r="K53" s="1301"/>
      <c r="L53" s="1304"/>
      <c r="M53" s="1306"/>
      <c r="N53" s="1306"/>
      <c r="O53" s="288"/>
      <c r="P53" s="1243"/>
      <c r="Q53" s="1244"/>
      <c r="R53" s="1243"/>
      <c r="S53" s="1249"/>
      <c r="T53" s="1252" t="s">
        <v>417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46"/>
      <c r="F54" s="1302"/>
      <c r="G54" s="1302"/>
      <c r="H54" s="1302"/>
      <c r="I54" s="1302"/>
      <c r="J54" s="1302"/>
      <c r="K54" s="1302"/>
      <c r="L54" s="1308"/>
      <c r="M54" s="1306"/>
      <c r="N54" s="1306"/>
      <c r="O54" s="288"/>
      <c r="P54" s="317"/>
      <c r="Q54" s="1271"/>
      <c r="R54" s="317"/>
      <c r="S54" s="1249"/>
      <c r="T54" s="1252" t="s">
        <v>418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45"/>
      <c r="F55" s="1302"/>
      <c r="G55" s="1302"/>
      <c r="H55" s="1302"/>
      <c r="I55" s="1302"/>
      <c r="J55" s="1302"/>
      <c r="K55" s="1302"/>
      <c r="L55" s="1308"/>
      <c r="M55" s="1306"/>
      <c r="N55" s="1306"/>
      <c r="O55" s="288"/>
      <c r="P55" s="317"/>
      <c r="Q55" s="1271"/>
      <c r="R55" s="317"/>
      <c r="S55" s="1249"/>
      <c r="T55" s="1252" t="s">
        <v>418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450</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18"/>
      <c r="U58" s="2218"/>
      <c r="V58" s="2218"/>
      <c r="W58" s="2218"/>
      <c r="X58" s="2218"/>
      <c r="Y58" s="2218"/>
      <c r="Z58" s="2218"/>
      <c r="AA58" s="2218"/>
      <c r="AB58" s="2218"/>
      <c r="AC58" s="2218"/>
      <c r="AD58" s="2218"/>
      <c r="AE58" s="2218"/>
      <c r="AF58" s="2218"/>
      <c r="AG58" s="2218"/>
      <c r="AH58" s="2218"/>
      <c r="AI58" s="2218"/>
      <c r="AJ58" s="2218"/>
      <c r="AK58" s="2218"/>
      <c r="AQ58" s="1558">
        <v>19</v>
      </c>
    </row>
    <row r="59" spans="1:43" ht="21" customHeight="1">
      <c r="O59" s="1562"/>
      <c r="T59" s="2218"/>
      <c r="U59" s="2218"/>
      <c r="V59" s="2218"/>
      <c r="W59" s="2218"/>
      <c r="X59" s="2218"/>
      <c r="Y59" s="2218"/>
      <c r="Z59" s="2218"/>
      <c r="AA59" s="2218"/>
      <c r="AB59" s="2218"/>
      <c r="AC59" s="2218"/>
      <c r="AD59" s="2218"/>
      <c r="AE59" s="2218"/>
      <c r="AF59" s="2218"/>
      <c r="AG59" s="2218"/>
      <c r="AH59" s="2218"/>
      <c r="AI59" s="2218"/>
      <c r="AJ59" s="2218"/>
      <c r="AK59" s="2218"/>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218"/>
      <c r="U61" s="2218"/>
      <c r="V61" s="2218"/>
      <c r="W61" s="2218"/>
      <c r="X61" s="2218"/>
      <c r="Y61" s="2218"/>
      <c r="Z61" s="2218"/>
      <c r="AA61" s="2218"/>
      <c r="AB61" s="2218"/>
      <c r="AC61" s="2218"/>
      <c r="AD61" s="2218"/>
      <c r="AE61" s="2218"/>
      <c r="AF61" s="2218"/>
      <c r="AG61" s="2218"/>
      <c r="AH61" s="2218"/>
      <c r="AI61" s="2218"/>
      <c r="AJ61" s="2218"/>
      <c r="AK61" s="2218"/>
      <c r="AQ61" s="1558">
        <v>19</v>
      </c>
    </row>
    <row r="62" spans="1:43" ht="16.899999999999999" customHeight="1">
      <c r="O62" s="1562"/>
      <c r="T62" s="2218"/>
      <c r="U62" s="2218"/>
      <c r="V62" s="2218"/>
      <c r="W62" s="2218"/>
      <c r="X62" s="2218"/>
      <c r="Y62" s="2218"/>
      <c r="Z62" s="2218"/>
      <c r="AA62" s="2218"/>
      <c r="AB62" s="2218"/>
      <c r="AC62" s="2218"/>
      <c r="AD62" s="2218"/>
      <c r="AE62" s="2218"/>
      <c r="AF62" s="2218"/>
      <c r="AG62" s="2218"/>
      <c r="AH62" s="2218"/>
      <c r="AI62" s="2218"/>
      <c r="AJ62" s="2218"/>
      <c r="AK62" s="2218"/>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19">
        <v>1</v>
      </c>
      <c r="F2" s="1290"/>
      <c r="G2" s="1290"/>
      <c r="H2" s="1290"/>
      <c r="I2" s="1290"/>
      <c r="J2" s="1290"/>
      <c r="K2" s="1290"/>
      <c r="L2" s="1291"/>
      <c r="M2" s="1292"/>
      <c r="N2" s="1292"/>
      <c r="O2" s="1292"/>
      <c r="P2" s="1336"/>
      <c r="Q2" s="804"/>
      <c r="R2" s="292"/>
      <c r="S2" s="1392" t="e">
        <f>INDEX(PT_DIFFERENTIATION_NUM_NTAR,MATCH(A2,PT_DIFFERENTIATION_NTAR_ID,0))</f>
        <v>#N/A</v>
      </c>
      <c r="T2" s="235" t="s">
        <v>127</v>
      </c>
      <c r="U2" s="237"/>
      <c r="V2" s="2214"/>
      <c r="W2" s="2214"/>
      <c r="X2" s="2214"/>
      <c r="Y2" s="2214"/>
      <c r="Z2" s="2214"/>
      <c r="AA2" s="2214"/>
      <c r="AB2" s="2214"/>
      <c r="AC2" s="2215"/>
      <c r="AD2" s="2213" t="e">
        <f>INDEX(PT_DIFFERENTIATION_NTAR,MATCH(A2,PT_DIFFERENTIATION_NTAR_ID,0))</f>
        <v>#N/A</v>
      </c>
      <c r="AE2" s="2214"/>
      <c r="AF2" s="2214"/>
      <c r="AG2" s="2214"/>
      <c r="AH2" s="2214"/>
      <c r="AI2" s="2214"/>
      <c r="AJ2" s="2214"/>
      <c r="AK2" s="2214"/>
      <c r="AL2" s="2214"/>
      <c r="AM2" s="2214"/>
      <c r="AN2" s="2214"/>
      <c r="AO2" s="2214"/>
      <c r="AP2" s="2214"/>
      <c r="AQ2" s="2214"/>
      <c r="AR2" s="2214"/>
      <c r="AS2" s="2214"/>
      <c r="AT2" s="2214"/>
      <c r="AU2" s="2214"/>
      <c r="AV2" s="2214"/>
      <c r="AW2" s="2214"/>
      <c r="AX2" s="2214"/>
      <c r="AY2" s="2214"/>
      <c r="AZ2" s="2214"/>
      <c r="BA2" s="2214"/>
      <c r="BB2" s="221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0"/>
      <c r="F3" s="2219">
        <v>1</v>
      </c>
      <c r="G3" s="1290"/>
      <c r="H3" s="1290"/>
      <c r="I3" s="1290"/>
      <c r="J3" s="1290"/>
      <c r="K3" s="1290"/>
      <c r="L3" s="1291"/>
      <c r="M3" s="1292"/>
      <c r="N3" s="1292"/>
      <c r="O3" s="1292"/>
      <c r="P3" s="1337"/>
      <c r="Q3" s="1338"/>
      <c r="R3" s="290"/>
      <c r="S3" s="1392" t="e">
        <f>INDEX(PT_DIFFERENTIATION_NUM_TER,MATCH(B3,PT_DIFFERENTIATION_TER_ID,0))</f>
        <v>#N/A</v>
      </c>
      <c r="T3" s="245" t="s">
        <v>399</v>
      </c>
      <c r="U3" s="237"/>
      <c r="V3" s="2214"/>
      <c r="W3" s="2214"/>
      <c r="X3" s="2214"/>
      <c r="Y3" s="2214"/>
      <c r="Z3" s="2214"/>
      <c r="AA3" s="2214"/>
      <c r="AB3" s="2214"/>
      <c r="AC3" s="2215"/>
      <c r="AD3" s="2213" t="e">
        <f>INDEX(PT_DIFFERENTIATION_TER,MATCH(B3,PT_DIFFERENTIATION_TER_ID,0))</f>
        <v>#N/A</v>
      </c>
      <c r="AE3" s="2214"/>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4"/>
      <c r="BB3" s="2215"/>
      <c r="BC3" s="1185" t="s">
        <v>400</v>
      </c>
      <c r="BE3" s="437"/>
      <c r="BF3" s="437" t="str">
        <f t="shared" si="0"/>
        <v>Территория действия тарифа</v>
      </c>
      <c r="BG3" s="437"/>
      <c r="BH3" s="437"/>
      <c r="BI3" s="1082">
        <v>0</v>
      </c>
    </row>
    <row r="4" spans="1:61" ht="42" hidden="1" customHeight="1">
      <c r="A4" s="1290"/>
      <c r="B4" s="1290"/>
      <c r="C4" s="1290"/>
      <c r="D4" s="1290"/>
      <c r="E4" s="2220"/>
      <c r="F4" s="2220"/>
      <c r="G4" s="2219">
        <v>1</v>
      </c>
      <c r="H4" s="1290"/>
      <c r="I4" s="1290"/>
      <c r="J4" s="1290"/>
      <c r="K4" s="1290"/>
      <c r="L4" s="1291"/>
      <c r="M4" s="1292"/>
      <c r="N4" s="1292"/>
      <c r="O4" s="1292"/>
      <c r="P4" s="1339"/>
      <c r="Q4" s="1338"/>
      <c r="R4" s="290"/>
      <c r="S4" s="1392" t="e">
        <f>INDEX(PT_DIFFERENTIATION_NUM_CS,MATCH(C4,PT_DIFFERENTIATION_CS_ID,0))</f>
        <v>#N/A</v>
      </c>
      <c r="T4" s="246" t="s">
        <v>483</v>
      </c>
      <c r="U4" s="237"/>
      <c r="V4" s="2214"/>
      <c r="W4" s="2214"/>
      <c r="X4" s="2214"/>
      <c r="Y4" s="2214"/>
      <c r="Z4" s="2214"/>
      <c r="AA4" s="2214"/>
      <c r="AB4" s="2214"/>
      <c r="AC4" s="2215"/>
      <c r="AD4" s="2213" t="e">
        <f>INDEX(PT_DIFFERENTIATION_CS,MATCH(C4,PT_DIFFERENTIATION_CS_ID,0))</f>
        <v>#N/A</v>
      </c>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4"/>
      <c r="BB4" s="2215"/>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20"/>
      <c r="F5" s="2220"/>
      <c r="G5" s="2220"/>
      <c r="H5" s="2219">
        <v>1</v>
      </c>
      <c r="I5" s="1270"/>
      <c r="J5" s="1270"/>
      <c r="K5" s="1270"/>
      <c r="L5" s="1273"/>
      <c r="M5" s="1242"/>
      <c r="N5" s="1242"/>
      <c r="O5" s="1242"/>
      <c r="P5" s="1424"/>
      <c r="Q5" s="1425"/>
      <c r="R5" s="294"/>
      <c r="S5" s="972"/>
      <c r="T5" s="1426"/>
      <c r="U5" s="1311"/>
      <c r="V5" s="2251"/>
      <c r="W5" s="2251"/>
      <c r="X5" s="2251"/>
      <c r="Y5" s="2251"/>
      <c r="Z5" s="2251"/>
      <c r="AA5" s="2251"/>
      <c r="AB5" s="2251"/>
      <c r="AC5" s="2252"/>
      <c r="AD5" s="2250"/>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2"/>
      <c r="BC5" s="1312" t="s">
        <v>404</v>
      </c>
      <c r="BE5" s="437"/>
      <c r="BF5" s="437" t="str">
        <f t="shared" si="0"/>
        <v/>
      </c>
      <c r="BG5" s="437"/>
      <c r="BH5" s="437"/>
      <c r="BI5" s="448">
        <v>0</v>
      </c>
    </row>
    <row r="6" spans="1:61" s="1569" customFormat="1" ht="14.25" hidden="1" customHeight="1">
      <c r="A6" s="1270"/>
      <c r="B6" s="1270"/>
      <c r="C6" s="1270"/>
      <c r="D6" s="1270"/>
      <c r="E6" s="2220"/>
      <c r="F6" s="2220"/>
      <c r="G6" s="2220"/>
      <c r="H6" s="2220"/>
      <c r="I6" s="2221" t="str">
        <f>S5&amp;".1"</f>
        <v>.1</v>
      </c>
      <c r="J6" s="1270"/>
      <c r="K6" s="1270"/>
      <c r="L6" s="1273" t="s">
        <v>405</v>
      </c>
      <c r="M6" s="447"/>
      <c r="N6" s="447"/>
      <c r="O6" s="447"/>
      <c r="P6" s="2223">
        <v>1</v>
      </c>
      <c r="Q6" s="1389"/>
      <c r="R6" s="293"/>
      <c r="S6" s="972"/>
      <c r="T6" s="1310"/>
      <c r="U6" s="1311"/>
      <c r="V6" s="2251"/>
      <c r="W6" s="2251"/>
      <c r="X6" s="2251"/>
      <c r="Y6" s="2251"/>
      <c r="Z6" s="2251"/>
      <c r="AA6" s="2251"/>
      <c r="AB6" s="2251"/>
      <c r="AC6" s="2252"/>
      <c r="AD6" s="2250"/>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2"/>
      <c r="BC6" s="1312"/>
      <c r="BE6" s="437"/>
      <c r="BF6" s="437" t="str">
        <f t="shared" si="0"/>
        <v/>
      </c>
      <c r="BG6" s="437"/>
      <c r="BH6" s="437"/>
      <c r="BI6" s="448">
        <v>0</v>
      </c>
    </row>
    <row r="7" spans="1:61" s="1569" customFormat="1" ht="14.25" hidden="1" customHeight="1">
      <c r="A7" s="1270"/>
      <c r="B7" s="1270"/>
      <c r="C7" s="1270"/>
      <c r="D7" s="1270"/>
      <c r="E7" s="2220"/>
      <c r="F7" s="2220"/>
      <c r="G7" s="2220"/>
      <c r="H7" s="2220"/>
      <c r="I7" s="2222"/>
      <c r="J7" s="2221" t="str">
        <f>S5&amp;".1"</f>
        <v>.1</v>
      </c>
      <c r="K7" s="1270"/>
      <c r="L7" s="1273"/>
      <c r="M7" s="447"/>
      <c r="N7" s="447"/>
      <c r="O7" s="447"/>
      <c r="P7" s="2223"/>
      <c r="Q7" s="2223">
        <v>1</v>
      </c>
      <c r="R7" s="294"/>
      <c r="S7" s="972"/>
      <c r="T7" s="1326"/>
      <c r="U7" s="1311"/>
      <c r="V7" s="2251"/>
      <c r="W7" s="2251"/>
      <c r="X7" s="2251"/>
      <c r="Y7" s="2251"/>
      <c r="Z7" s="2251"/>
      <c r="AA7" s="2251"/>
      <c r="AB7" s="2251"/>
      <c r="AC7" s="2252"/>
      <c r="AD7" s="2250"/>
      <c r="AE7" s="2251"/>
      <c r="AF7" s="2251"/>
      <c r="AG7" s="2251"/>
      <c r="AH7" s="2251"/>
      <c r="AI7" s="2251"/>
      <c r="AJ7" s="2251"/>
      <c r="AK7" s="2251"/>
      <c r="AL7" s="2251"/>
      <c r="AM7" s="2251"/>
      <c r="AN7" s="2251"/>
      <c r="AO7" s="2251"/>
      <c r="AP7" s="2251"/>
      <c r="AQ7" s="2251"/>
      <c r="AR7" s="2251"/>
      <c r="AS7" s="2251"/>
      <c r="AT7" s="2251"/>
      <c r="AU7" s="2251"/>
      <c r="AV7" s="2251"/>
      <c r="AW7" s="2251"/>
      <c r="AX7" s="2251"/>
      <c r="AY7" s="2251"/>
      <c r="AZ7" s="2251"/>
      <c r="BA7" s="2251"/>
      <c r="BB7" s="2252"/>
      <c r="BC7" s="1312"/>
      <c r="BE7" s="437"/>
      <c r="BF7" s="437" t="str">
        <f t="shared" si="0"/>
        <v/>
      </c>
      <c r="BG7" s="437"/>
      <c r="BH7" s="437"/>
      <c r="BI7" s="448">
        <v>0</v>
      </c>
    </row>
    <row r="8" spans="1:61" ht="11.25" hidden="1" customHeight="1">
      <c r="A8" s="1290"/>
      <c r="B8" s="1290"/>
      <c r="C8" s="1290"/>
      <c r="D8" s="1290"/>
      <c r="E8" s="2220"/>
      <c r="F8" s="2220"/>
      <c r="G8" s="2220"/>
      <c r="H8" s="2220"/>
      <c r="I8" s="2222"/>
      <c r="J8" s="2222"/>
      <c r="K8" s="2221" t="e">
        <f>S4&amp;".1"</f>
        <v>#N/A</v>
      </c>
      <c r="L8" s="1291"/>
      <c r="P8" s="2223"/>
      <c r="Q8" s="2223"/>
      <c r="R8" s="2279">
        <v>1</v>
      </c>
      <c r="S8" s="2276" t="e">
        <f>$K8</f>
        <v>#N/A</v>
      </c>
      <c r="T8" s="2296"/>
      <c r="U8" s="237"/>
      <c r="V8" s="688"/>
      <c r="W8" s="1184"/>
      <c r="X8" s="688"/>
      <c r="Y8" s="1184"/>
      <c r="Z8" s="1661"/>
      <c r="AA8" s="1386" t="s">
        <v>65</v>
      </c>
      <c r="AB8" s="1661"/>
      <c r="AC8" s="1386" t="s">
        <v>65</v>
      </c>
      <c r="AD8" s="2163" t="s">
        <v>65</v>
      </c>
      <c r="AE8" s="2272"/>
      <c r="AF8" s="2176">
        <v>1</v>
      </c>
      <c r="AG8" s="2295"/>
      <c r="AH8" s="2102" t="s">
        <v>65</v>
      </c>
      <c r="AI8" s="2272"/>
      <c r="AJ8" s="2176">
        <v>1</v>
      </c>
      <c r="AK8" s="2286" t="s">
        <v>22</v>
      </c>
      <c r="AL8" s="2102" t="s">
        <v>65</v>
      </c>
      <c r="AM8" s="2151"/>
      <c r="AN8" s="2176">
        <v>1</v>
      </c>
      <c r="AO8" s="2299"/>
      <c r="AP8" s="2300" t="s">
        <v>65</v>
      </c>
      <c r="AQ8" s="248"/>
      <c r="AR8" s="1390">
        <v>1</v>
      </c>
      <c r="AS8" s="1393" t="s">
        <v>22</v>
      </c>
      <c r="AT8" s="688"/>
      <c r="AU8" s="1184"/>
      <c r="AV8" s="688"/>
      <c r="AW8" s="1184"/>
      <c r="AX8" s="1661"/>
      <c r="AY8" s="1386" t="s">
        <v>65</v>
      </c>
      <c r="AZ8" s="1661"/>
      <c r="BA8" s="1386" t="s">
        <v>65</v>
      </c>
      <c r="BB8" s="1275"/>
      <c r="BC8" s="2242" t="s">
        <v>503</v>
      </c>
      <c r="BE8" s="437"/>
      <c r="BF8" s="437" t="str">
        <f t="shared" si="0"/>
        <v/>
      </c>
      <c r="BG8" s="437"/>
      <c r="BH8" s="437"/>
      <c r="BI8" s="1082">
        <v>0</v>
      </c>
    </row>
    <row r="9" spans="1:61" ht="11.25" hidden="1" customHeight="1">
      <c r="A9" s="1290"/>
      <c r="B9" s="1290"/>
      <c r="C9" s="1290"/>
      <c r="D9" s="1290"/>
      <c r="E9" s="2220"/>
      <c r="F9" s="2220"/>
      <c r="G9" s="2220"/>
      <c r="H9" s="2220"/>
      <c r="I9" s="2222"/>
      <c r="J9" s="2222"/>
      <c r="K9" s="2221"/>
      <c r="L9" s="1291"/>
      <c r="P9" s="2223"/>
      <c r="Q9" s="2223"/>
      <c r="R9" s="2279"/>
      <c r="S9" s="2277"/>
      <c r="T9" s="2297"/>
      <c r="U9" s="237"/>
      <c r="V9" s="1320"/>
      <c r="W9" s="1423"/>
      <c r="X9" s="1320"/>
      <c r="Y9" s="1423"/>
      <c r="Z9" s="1320"/>
      <c r="AA9" s="1320"/>
      <c r="AB9" s="1320"/>
      <c r="AC9" s="1320"/>
      <c r="AD9" s="2164"/>
      <c r="AE9" s="2272"/>
      <c r="AF9" s="2176"/>
      <c r="AG9" s="2295"/>
      <c r="AH9" s="2102"/>
      <c r="AI9" s="2272"/>
      <c r="AJ9" s="2176"/>
      <c r="AK9" s="2286"/>
      <c r="AL9" s="2102"/>
      <c r="AM9" s="2156"/>
      <c r="AN9" s="2176"/>
      <c r="AO9" s="2299"/>
      <c r="AP9" s="2301"/>
      <c r="AQ9" s="253"/>
      <c r="AR9" s="353"/>
      <c r="AS9" s="353" t="s">
        <v>504</v>
      </c>
      <c r="AT9" s="1320"/>
      <c r="AU9" s="1423"/>
      <c r="AV9" s="1320"/>
      <c r="AW9" s="1423"/>
      <c r="AX9" s="1320"/>
      <c r="AY9" s="1320"/>
      <c r="AZ9" s="1320"/>
      <c r="BA9" s="1320"/>
      <c r="BB9" s="1324"/>
      <c r="BC9" s="2243"/>
      <c r="BE9" s="437"/>
      <c r="BF9" s="437"/>
      <c r="BG9" s="437"/>
      <c r="BH9" s="437"/>
      <c r="BI9" s="1082">
        <v>0</v>
      </c>
    </row>
    <row r="10" spans="1:61" ht="11.25" hidden="1" customHeight="1">
      <c r="A10" s="1290"/>
      <c r="B10" s="1290"/>
      <c r="C10" s="1290"/>
      <c r="D10" s="1290"/>
      <c r="E10" s="2220"/>
      <c r="F10" s="2220"/>
      <c r="G10" s="2220"/>
      <c r="H10" s="2220"/>
      <c r="I10" s="2222"/>
      <c r="J10" s="2222"/>
      <c r="K10" s="2221"/>
      <c r="L10" s="1291"/>
      <c r="P10" s="2223"/>
      <c r="Q10" s="2223"/>
      <c r="R10" s="2279"/>
      <c r="S10" s="2277"/>
      <c r="T10" s="2297"/>
      <c r="U10" s="237"/>
      <c r="V10" s="1320"/>
      <c r="W10" s="1423"/>
      <c r="X10" s="1320"/>
      <c r="Y10" s="1423"/>
      <c r="Z10" s="1320"/>
      <c r="AA10" s="1320"/>
      <c r="AB10" s="1320"/>
      <c r="AC10" s="1320"/>
      <c r="AD10" s="2164"/>
      <c r="AE10" s="2272"/>
      <c r="AF10" s="2176"/>
      <c r="AG10" s="2295"/>
      <c r="AH10" s="2102"/>
      <c r="AI10" s="2272"/>
      <c r="AJ10" s="2176"/>
      <c r="AK10" s="2286"/>
      <c r="AL10" s="2102"/>
      <c r="AM10" s="253"/>
      <c r="AN10" s="1427"/>
      <c r="AO10" s="1427" t="s">
        <v>505</v>
      </c>
      <c r="AP10" s="353"/>
      <c r="AQ10" s="353"/>
      <c r="AR10" s="353"/>
      <c r="AS10" s="1320"/>
      <c r="AT10" s="1320"/>
      <c r="AU10" s="1423"/>
      <c r="AV10" s="1320"/>
      <c r="AW10" s="1423"/>
      <c r="AX10" s="1320"/>
      <c r="AY10" s="1320"/>
      <c r="AZ10" s="1320"/>
      <c r="BA10" s="1320"/>
      <c r="BB10" s="1324"/>
      <c r="BC10" s="2243"/>
      <c r="BE10" s="437"/>
      <c r="BF10" s="437"/>
      <c r="BG10" s="437"/>
      <c r="BH10" s="437"/>
      <c r="BI10" s="1082">
        <v>0</v>
      </c>
    </row>
    <row r="11" spans="1:61" ht="11.25" hidden="1" customHeight="1">
      <c r="A11" s="1290"/>
      <c r="B11" s="1290"/>
      <c r="C11" s="1290"/>
      <c r="D11" s="1290"/>
      <c r="E11" s="2220"/>
      <c r="F11" s="2220"/>
      <c r="G11" s="2220"/>
      <c r="H11" s="2220"/>
      <c r="I11" s="2222"/>
      <c r="J11" s="2222"/>
      <c r="K11" s="2221"/>
      <c r="L11" s="1291"/>
      <c r="P11" s="2223"/>
      <c r="Q11" s="2223"/>
      <c r="R11" s="2279"/>
      <c r="S11" s="2277"/>
      <c r="T11" s="2297"/>
      <c r="U11" s="237"/>
      <c r="V11" s="1320"/>
      <c r="W11" s="1423"/>
      <c r="X11" s="1320"/>
      <c r="Y11" s="1423"/>
      <c r="Z11" s="1320"/>
      <c r="AA11" s="1320"/>
      <c r="AB11" s="1320"/>
      <c r="AC11" s="1320"/>
      <c r="AD11" s="2164"/>
      <c r="AE11" s="2272"/>
      <c r="AF11" s="2176"/>
      <c r="AG11" s="2295"/>
      <c r="AH11" s="2102"/>
      <c r="AI11" s="231"/>
      <c r="AJ11" s="352"/>
      <c r="AK11" s="250" t="s">
        <v>506</v>
      </c>
      <c r="AL11" s="1320"/>
      <c r="AM11" s="1320"/>
      <c r="AN11" s="1320"/>
      <c r="AO11" s="1320"/>
      <c r="AP11" s="1320"/>
      <c r="AQ11" s="1320"/>
      <c r="AR11" s="1320"/>
      <c r="AS11" s="1320"/>
      <c r="AT11" s="1320"/>
      <c r="AU11" s="1423"/>
      <c r="AV11" s="1320"/>
      <c r="AW11" s="1423"/>
      <c r="AX11" s="1320"/>
      <c r="AY11" s="1320"/>
      <c r="AZ11" s="1320"/>
      <c r="BA11" s="1320"/>
      <c r="BB11" s="1324"/>
      <c r="BC11" s="2243"/>
      <c r="BE11" s="437"/>
      <c r="BF11" s="437"/>
      <c r="BG11" s="437"/>
      <c r="BH11" s="437"/>
      <c r="BI11" s="1082">
        <v>0</v>
      </c>
    </row>
    <row r="12" spans="1:61" ht="11.25" hidden="1" customHeight="1">
      <c r="A12" s="1290"/>
      <c r="B12" s="1290"/>
      <c r="C12" s="1290"/>
      <c r="D12" s="1290"/>
      <c r="E12" s="2220"/>
      <c r="F12" s="2220"/>
      <c r="G12" s="2220"/>
      <c r="H12" s="2220"/>
      <c r="I12" s="2222"/>
      <c r="J12" s="2222"/>
      <c r="K12" s="2221"/>
      <c r="L12" s="1291"/>
      <c r="P12" s="2223"/>
      <c r="Q12" s="2223"/>
      <c r="R12" s="2279"/>
      <c r="S12" s="2278"/>
      <c r="T12" s="2298"/>
      <c r="U12" s="237"/>
      <c r="V12" s="1320"/>
      <c r="W12" s="1321" t="str">
        <f>Z8&amp;"-"&amp;AB8</f>
        <v>-</v>
      </c>
      <c r="X12" s="1320"/>
      <c r="Y12" s="1321" t="str">
        <f>AB8&amp;"-"&amp;AD8</f>
        <v>-да</v>
      </c>
      <c r="Z12" s="1320"/>
      <c r="AA12" s="1320"/>
      <c r="AB12" s="1320"/>
      <c r="AC12" s="1320"/>
      <c r="AD12" s="2107"/>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3"/>
      <c r="BE12" s="437"/>
      <c r="BF12" s="437" t="str">
        <f t="shared" ref="BF12:BF18" si="1">IF(T12="","",T12)</f>
        <v/>
      </c>
      <c r="BG12" s="437"/>
      <c r="BH12" s="437"/>
      <c r="BI12" s="1082">
        <v>0</v>
      </c>
    </row>
    <row r="13" spans="1:61" ht="11.25" hidden="1" customHeight="1">
      <c r="A13" s="1290"/>
      <c r="B13" s="1290"/>
      <c r="C13" s="1290"/>
      <c r="D13" s="1290"/>
      <c r="E13" s="2220"/>
      <c r="F13" s="2220"/>
      <c r="G13" s="2220"/>
      <c r="H13" s="2220"/>
      <c r="I13" s="2222"/>
      <c r="J13" s="2221"/>
      <c r="K13" s="1290"/>
      <c r="L13" s="1291"/>
      <c r="P13" s="2223"/>
      <c r="Q13" s="2223"/>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4"/>
      <c r="BE13" s="437"/>
      <c r="BF13" s="437" t="str">
        <f t="shared" si="1"/>
        <v>Добавить строку</v>
      </c>
      <c r="BG13" s="437"/>
      <c r="BH13" s="437"/>
      <c r="BI13" s="1082">
        <v>0</v>
      </c>
    </row>
    <row r="14" spans="1:61" s="1569" customFormat="1" ht="14.25" hidden="1" customHeight="1">
      <c r="A14" s="1270"/>
      <c r="B14" s="1270"/>
      <c r="C14" s="1270"/>
      <c r="D14" s="1270"/>
      <c r="E14" s="2220"/>
      <c r="F14" s="2220"/>
      <c r="G14" s="2220"/>
      <c r="H14" s="2220"/>
      <c r="I14" s="2221"/>
      <c r="J14" s="1270"/>
      <c r="K14" s="1270"/>
      <c r="L14" s="1273"/>
      <c r="M14" s="447"/>
      <c r="N14" s="447"/>
      <c r="O14" s="447"/>
      <c r="P14" s="222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0"/>
      <c r="F15" s="2220"/>
      <c r="G15" s="2220"/>
      <c r="H15" s="221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0"/>
      <c r="F16" s="2220"/>
      <c r="G16" s="221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0"/>
      <c r="F17" s="2219"/>
      <c r="G17" s="1241"/>
      <c r="H17" s="1241"/>
      <c r="I17" s="1241"/>
      <c r="J17" s="1241"/>
      <c r="K17" s="1241"/>
      <c r="L17" s="1391"/>
      <c r="M17" s="1248"/>
      <c r="N17" s="1248"/>
      <c r="P17" s="1243"/>
      <c r="Q17" s="1244"/>
      <c r="R17" s="1243"/>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19"/>
      <c r="F18" s="1270"/>
      <c r="G18" s="1270"/>
      <c r="H18" s="1270"/>
      <c r="I18" s="1270"/>
      <c r="J18" s="1270"/>
      <c r="K18" s="1270"/>
      <c r="L18" s="1273"/>
      <c r="M18" s="1248"/>
      <c r="N18" s="1248"/>
      <c r="O18" s="455"/>
      <c r="P18" s="317"/>
      <c r="Q18" s="1271"/>
      <c r="R18" s="317"/>
      <c r="S18" s="1249"/>
      <c r="T18" s="1252" t="s">
        <v>418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471</v>
      </c>
      <c r="AH24" s="1434" t="s">
        <v>471</v>
      </c>
      <c r="AK24" s="1434" t="s">
        <v>508</v>
      </c>
      <c r="AL24" s="1434" t="s">
        <v>471</v>
      </c>
      <c r="AP24" s="1434" t="s">
        <v>471</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0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c r="AS28" s="2200"/>
      <c r="AT28" s="2200"/>
      <c r="AU28" s="2200"/>
      <c r="AV28" s="2200"/>
      <c r="AW28" s="2200"/>
      <c r="AX28" s="2200"/>
      <c r="AY28" s="2200"/>
      <c r="AZ28" s="2200"/>
      <c r="BA28" s="1170"/>
      <c r="BI28" s="1082">
        <v>14</v>
      </c>
    </row>
    <row r="29" spans="1:61" ht="14.65" customHeight="1">
      <c r="Q29" s="228"/>
      <c r="R29" s="313"/>
      <c r="S29" s="2172" t="str">
        <f>IF(org=0,"Не определено",org)</f>
        <v>МУП "Михайловское водопроводно-канализационное хозяйство"</v>
      </c>
      <c r="T29" s="2172"/>
      <c r="U29" s="2172"/>
      <c r="V29" s="2172"/>
      <c r="W29" s="2172"/>
      <c r="X29" s="2172"/>
      <c r="Y29" s="2172"/>
      <c r="Z29" s="2172"/>
      <c r="AA29" s="2172"/>
      <c r="AB29" s="2172"/>
      <c r="AC29" s="2172"/>
      <c r="AD29" s="2172"/>
      <c r="AE29" s="2172"/>
      <c r="AF29" s="2172"/>
      <c r="AG29" s="2172"/>
      <c r="AH29" s="2172"/>
      <c r="AI29" s="2172"/>
      <c r="AJ29" s="2172"/>
      <c r="AK29" s="2172"/>
      <c r="AL29" s="2172"/>
      <c r="AM29" s="2172"/>
      <c r="AN29" s="2172"/>
      <c r="AO29" s="2172"/>
      <c r="AP29" s="2172"/>
      <c r="AQ29" s="2172"/>
      <c r="AR29" s="2172"/>
      <c r="AS29" s="2172"/>
      <c r="AT29" s="2172"/>
      <c r="AU29" s="2172"/>
      <c r="AV29" s="2172"/>
      <c r="AW29" s="2172"/>
      <c r="AX29" s="2172"/>
      <c r="AY29" s="2172"/>
      <c r="AZ29" s="217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10" t="s">
        <v>42</v>
      </c>
      <c r="T31" s="2210"/>
      <c r="U31" s="1299"/>
      <c r="V31" s="2212" t="str">
        <f>IF(TITLE_NAME_OR_PR_CHANGE="",IF(TITLE_NAME_OR_PR="","",TITLE_NAME_OR_PR),TITLE_NAME_OR_PR_CHANGE)</f>
        <v/>
      </c>
      <c r="W31" s="2212"/>
      <c r="X31" s="2212"/>
      <c r="Y31" s="2212"/>
      <c r="Z31" s="2212"/>
      <c r="AA31" s="2212"/>
      <c r="AB31" s="2212"/>
      <c r="AC31" s="263"/>
      <c r="AD31" s="2212" t="str">
        <f>IF(TITLE_NAME_OR_PR_CHANGE="",IF(TITLE_NAME_OR_PR="","",TITLE_NAME_OR_PR),TITLE_NAME_OR_PR_CHANGE)</f>
        <v/>
      </c>
      <c r="AE31" s="2212"/>
      <c r="AF31" s="2212"/>
      <c r="AG31" s="2212"/>
      <c r="AH31" s="2212"/>
      <c r="AI31" s="2212"/>
      <c r="AJ31" s="2212"/>
      <c r="AK31" s="2212"/>
      <c r="AL31" s="2212"/>
      <c r="AM31" s="2212"/>
      <c r="AN31" s="2212"/>
      <c r="AO31" s="2212"/>
      <c r="AP31" s="2212"/>
      <c r="AQ31" s="2212"/>
      <c r="AR31" s="2212"/>
      <c r="AS31" s="2212"/>
      <c r="AT31" s="2212"/>
      <c r="AU31" s="2212"/>
      <c r="AV31" s="2212"/>
      <c r="AW31" s="2212"/>
      <c r="AX31" s="2212"/>
      <c r="AY31" s="2212"/>
      <c r="AZ31" s="221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10" t="s">
        <v>425</v>
      </c>
      <c r="T32" s="2210"/>
      <c r="U32" s="1299"/>
      <c r="V32" s="2211" t="str">
        <f>IF(TITLE_DATE_PR_CHANGE="",IF(TITLE_DATE_PR="","",TITLE_DATE_PR),TITLE_DATE_PR_CHANGE)</f>
        <v/>
      </c>
      <c r="W32" s="2211"/>
      <c r="X32" s="2211"/>
      <c r="Y32" s="2211"/>
      <c r="Z32" s="2211"/>
      <c r="AA32" s="2211"/>
      <c r="AB32" s="2211"/>
      <c r="AC32" s="263"/>
      <c r="AD32" s="2211" t="str">
        <f>IF(TITLE_DATE_PR_CHANGE="",IF(TITLE_DATE_PR="","",TITLE_DATE_PR),TITLE_DATE_PR_CHANGE)</f>
        <v/>
      </c>
      <c r="AE32" s="2211"/>
      <c r="AF32" s="2211"/>
      <c r="AG32" s="2211"/>
      <c r="AH32" s="2211"/>
      <c r="AI32" s="2211"/>
      <c r="AJ32" s="2211"/>
      <c r="AK32" s="2211"/>
      <c r="AL32" s="2211"/>
      <c r="AM32" s="2211"/>
      <c r="AN32" s="2211"/>
      <c r="AO32" s="2211"/>
      <c r="AP32" s="2211"/>
      <c r="AQ32" s="2211"/>
      <c r="AR32" s="2211"/>
      <c r="AS32" s="2211"/>
      <c r="AT32" s="2211"/>
      <c r="AU32" s="2211"/>
      <c r="AV32" s="2211"/>
      <c r="AW32" s="2211"/>
      <c r="AX32" s="2211"/>
      <c r="AY32" s="2211"/>
      <c r="AZ32" s="221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10" t="s">
        <v>426</v>
      </c>
      <c r="T33" s="2210"/>
      <c r="U33" s="1299"/>
      <c r="V33" s="2212" t="str">
        <f>IF(TITLE_NUMBER_PR_CHANGE="",IF(TITLE_NUMBER_PR="","",TITLE_NUMBER_PR),TITLE_NUMBER_PR_CHANGE)</f>
        <v/>
      </c>
      <c r="W33" s="2212"/>
      <c r="X33" s="2212"/>
      <c r="Y33" s="2212"/>
      <c r="Z33" s="2212"/>
      <c r="AA33" s="2212"/>
      <c r="AB33" s="2212"/>
      <c r="AC33" s="263"/>
      <c r="AD33" s="2212" t="str">
        <f>IF(TITLE_NUMBER_PR_CHANGE="",IF(TITLE_NUMBER_PR="","",TITLE_NUMBER_PR),TITLE_NUMBER_PR_CHANGE)</f>
        <v/>
      </c>
      <c r="AE33" s="2212"/>
      <c r="AF33" s="2212"/>
      <c r="AG33" s="2212"/>
      <c r="AH33" s="2212"/>
      <c r="AI33" s="2212"/>
      <c r="AJ33" s="2212"/>
      <c r="AK33" s="2212"/>
      <c r="AL33" s="2212"/>
      <c r="AM33" s="2212"/>
      <c r="AN33" s="2212"/>
      <c r="AO33" s="2212"/>
      <c r="AP33" s="2212"/>
      <c r="AQ33" s="2212"/>
      <c r="AR33" s="2212"/>
      <c r="AS33" s="2212"/>
      <c r="AT33" s="2212"/>
      <c r="AU33" s="2212"/>
      <c r="AV33" s="2212"/>
      <c r="AW33" s="2212"/>
      <c r="AX33" s="2212"/>
      <c r="AY33" s="2212"/>
      <c r="AZ33" s="221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10" t="s">
        <v>43</v>
      </c>
      <c r="T34" s="2210"/>
      <c r="U34" s="1299"/>
      <c r="V34" s="2212" t="str">
        <f>IF(TITLE_IST_PUB_CHANGE="",IF(TITLE_IST_PUB="","",TITLE_IST_PUB),TITLE_IST_PUB_CHANGE)</f>
        <v/>
      </c>
      <c r="W34" s="2212"/>
      <c r="X34" s="2212"/>
      <c r="Y34" s="2212"/>
      <c r="Z34" s="2212"/>
      <c r="AA34" s="2212"/>
      <c r="AB34" s="2212"/>
      <c r="AC34" s="263"/>
      <c r="AD34" s="2212" t="str">
        <f>IF(TITLE_IST_PUB_CHANGE="",IF(TITLE_IST_PUB="","",TITLE_IST_PUB),TITLE_IST_PUB_CHANGE)</f>
        <v/>
      </c>
      <c r="AE34" s="2212"/>
      <c r="AF34" s="2212"/>
      <c r="AG34" s="2212"/>
      <c r="AH34" s="2212"/>
      <c r="AI34" s="2212"/>
      <c r="AJ34" s="2212"/>
      <c r="AK34" s="2212"/>
      <c r="AL34" s="2212"/>
      <c r="AM34" s="2212"/>
      <c r="AN34" s="2212"/>
      <c r="AO34" s="2212"/>
      <c r="AP34" s="2212"/>
      <c r="AQ34" s="2212"/>
      <c r="AR34" s="2212"/>
      <c r="AS34" s="2212"/>
      <c r="AT34" s="2212"/>
      <c r="AU34" s="2212"/>
      <c r="AV34" s="2212"/>
      <c r="AW34" s="2212"/>
      <c r="AX34" s="2212"/>
      <c r="AY34" s="2212"/>
      <c r="AZ34" s="221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10" t="s">
        <v>425</v>
      </c>
      <c r="T36" s="2210"/>
      <c r="U36" s="1299"/>
      <c r="V36" s="2211" t="str">
        <f>IF(TITLE_DATE_PR_CHANGE="",IF(TITLE_DATE_PR="","",TITLE_DATE_PR),TITLE_DATE_PR_CHANGE)</f>
        <v/>
      </c>
      <c r="W36" s="2211"/>
      <c r="X36" s="2211"/>
      <c r="Y36" s="2211"/>
      <c r="Z36" s="2211"/>
      <c r="AA36" s="2211"/>
      <c r="AB36" s="2211"/>
      <c r="AC36" s="263"/>
      <c r="AD36" s="2211" t="str">
        <f>IF(TITLE_DATE_PR_CHANGE="",IF(TITLE_DATE_PR="","",TITLE_DATE_PR),TITLE_DATE_PR_CHANGE)</f>
        <v/>
      </c>
      <c r="AE36" s="2211"/>
      <c r="AF36" s="2211"/>
      <c r="AG36" s="2211"/>
      <c r="AH36" s="2211"/>
      <c r="AI36" s="2211"/>
      <c r="AJ36" s="2211"/>
      <c r="AK36" s="2211"/>
      <c r="AL36" s="2211"/>
      <c r="AM36" s="2211"/>
      <c r="AN36" s="2211"/>
      <c r="AO36" s="2211"/>
      <c r="AP36" s="2211"/>
      <c r="AQ36" s="2211"/>
      <c r="AR36" s="2211"/>
      <c r="AS36" s="2211"/>
      <c r="AT36" s="2211"/>
      <c r="AU36" s="2211"/>
      <c r="AV36" s="2211"/>
      <c r="AW36" s="2211"/>
      <c r="AX36" s="2211"/>
      <c r="AY36" s="2211"/>
      <c r="AZ36" s="221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10" t="s">
        <v>426</v>
      </c>
      <c r="T37" s="2210"/>
      <c r="U37" s="1299"/>
      <c r="V37" s="2212" t="str">
        <f>IF(TITLE_NUMBER_PR_CHANGE="",IF(TITLE_NUMBER_PR="","",TITLE_NUMBER_PR),TITLE_NUMBER_PR_CHANGE)</f>
        <v/>
      </c>
      <c r="W37" s="2212"/>
      <c r="X37" s="2212"/>
      <c r="Y37" s="2212"/>
      <c r="Z37" s="2212"/>
      <c r="AA37" s="2212"/>
      <c r="AB37" s="2212"/>
      <c r="AC37" s="263"/>
      <c r="AD37" s="2212" t="str">
        <f>IF(TITLE_NUMBER_PR_CHANGE="",IF(TITLE_NUMBER_PR="","",TITLE_NUMBER_PR),TITLE_NUMBER_PR_CHANGE)</f>
        <v/>
      </c>
      <c r="AE37" s="2212"/>
      <c r="AF37" s="2212"/>
      <c r="AG37" s="2212"/>
      <c r="AH37" s="2212"/>
      <c r="AI37" s="2212"/>
      <c r="AJ37" s="2212"/>
      <c r="AK37" s="2212"/>
      <c r="AL37" s="2212"/>
      <c r="AM37" s="2212"/>
      <c r="AN37" s="2212"/>
      <c r="AO37" s="2212"/>
      <c r="AP37" s="2212"/>
      <c r="AQ37" s="2212"/>
      <c r="AR37" s="2212"/>
      <c r="AS37" s="2212"/>
      <c r="AT37" s="2212"/>
      <c r="AU37" s="2212"/>
      <c r="AV37" s="2212"/>
      <c r="AW37" s="2212"/>
      <c r="AX37" s="2212"/>
      <c r="AY37" s="2212"/>
      <c r="AZ37" s="221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5"/>
      <c r="BE38" s="305"/>
      <c r="BF38" s="305"/>
      <c r="BG38" s="305"/>
      <c r="BH38" s="305"/>
      <c r="BI38" s="355">
        <v>0</v>
      </c>
    </row>
    <row r="39" spans="1:61" ht="14.65" customHeight="1">
      <c r="Q39" s="228"/>
      <c r="R39" s="313"/>
      <c r="S39" s="1202"/>
      <c r="T39" s="300"/>
      <c r="U39" s="117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c r="AS39" s="2231"/>
      <c r="AT39" s="2231"/>
      <c r="AU39" s="2231"/>
      <c r="AV39" s="2231"/>
      <c r="AW39" s="2231"/>
      <c r="AX39" s="2231"/>
      <c r="AY39" s="2231"/>
      <c r="AZ39" s="2231"/>
      <c r="BA39" s="2231"/>
      <c r="BI39" s="1082">
        <v>14</v>
      </c>
    </row>
    <row r="40" spans="1:61" ht="14.65" customHeight="1">
      <c r="Q40" s="228"/>
      <c r="R40" s="313"/>
      <c r="S40" s="2091" t="s">
        <v>302</v>
      </c>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t="s">
        <v>303</v>
      </c>
      <c r="BI40" s="1082">
        <v>14</v>
      </c>
    </row>
    <row r="41" spans="1:61" ht="14.65" customHeight="1">
      <c r="Q41" s="228"/>
      <c r="R41" s="313"/>
      <c r="S41" s="2232" t="s">
        <v>87</v>
      </c>
      <c r="T41" s="2180" t="s">
        <v>509</v>
      </c>
      <c r="U41" s="238"/>
      <c r="V41" s="2233" t="s">
        <v>431</v>
      </c>
      <c r="W41" s="2234"/>
      <c r="X41" s="2234"/>
      <c r="Y41" s="2234"/>
      <c r="Z41" s="2234"/>
      <c r="AA41" s="2234"/>
      <c r="AB41" s="2235"/>
      <c r="AC41" s="2236" t="s">
        <v>432</v>
      </c>
      <c r="AD41" s="2265" t="s">
        <v>510</v>
      </c>
      <c r="AE41" s="2249"/>
      <c r="AF41" s="2249"/>
      <c r="AG41" s="2266"/>
      <c r="AH41" s="2265" t="s">
        <v>511</v>
      </c>
      <c r="AI41" s="2249"/>
      <c r="AJ41" s="2249"/>
      <c r="AK41" s="2266"/>
      <c r="AL41" s="2265" t="s">
        <v>512</v>
      </c>
      <c r="AM41" s="2249"/>
      <c r="AN41" s="2249"/>
      <c r="AO41" s="2266"/>
      <c r="AP41" s="2265" t="s">
        <v>513</v>
      </c>
      <c r="AQ41" s="2249"/>
      <c r="AR41" s="2249"/>
      <c r="AS41" s="2266"/>
      <c r="AT41" s="2233" t="s">
        <v>431</v>
      </c>
      <c r="AU41" s="2234"/>
      <c r="AV41" s="2234"/>
      <c r="AW41" s="2234"/>
      <c r="AX41" s="2234"/>
      <c r="AY41" s="2234"/>
      <c r="AZ41" s="2235"/>
      <c r="BA41" s="2236" t="s">
        <v>432</v>
      </c>
      <c r="BB41" s="2239" t="s">
        <v>434</v>
      </c>
      <c r="BC41" s="2091"/>
      <c r="BI41" s="1082">
        <v>14</v>
      </c>
    </row>
    <row r="42" spans="1:61" ht="35.65" customHeight="1">
      <c r="Q42" s="228"/>
      <c r="R42" s="313"/>
      <c r="S42" s="2232"/>
      <c r="T42" s="2180"/>
      <c r="U42" s="961"/>
      <c r="V42" s="2151" t="s">
        <v>514</v>
      </c>
      <c r="W42" s="2152"/>
      <c r="X42" s="2151" t="s">
        <v>515</v>
      </c>
      <c r="Y42" s="2152"/>
      <c r="Z42" s="2151" t="s">
        <v>516</v>
      </c>
      <c r="AA42" s="2261"/>
      <c r="AB42" s="2152"/>
      <c r="AC42" s="2237"/>
      <c r="AD42" s="2267"/>
      <c r="AE42" s="2268"/>
      <c r="AF42" s="2268"/>
      <c r="AG42" s="2280"/>
      <c r="AH42" s="2267"/>
      <c r="AI42" s="2268"/>
      <c r="AJ42" s="2268"/>
      <c r="AK42" s="2280"/>
      <c r="AL42" s="2267"/>
      <c r="AM42" s="2268"/>
      <c r="AN42" s="2268"/>
      <c r="AO42" s="2280"/>
      <c r="AP42" s="2267"/>
      <c r="AQ42" s="2268"/>
      <c r="AR42" s="2268"/>
      <c r="AS42" s="2280"/>
      <c r="AT42" s="2151" t="s">
        <v>514</v>
      </c>
      <c r="AU42" s="2152"/>
      <c r="AV42" s="2151" t="s">
        <v>515</v>
      </c>
      <c r="AW42" s="2152"/>
      <c r="AX42" s="2151" t="s">
        <v>516</v>
      </c>
      <c r="AY42" s="2261"/>
      <c r="AZ42" s="2152"/>
      <c r="BA42" s="2237"/>
      <c r="BB42" s="2240"/>
      <c r="BC42" s="2091"/>
      <c r="BI42" s="1082">
        <v>34</v>
      </c>
    </row>
    <row r="43" spans="1:61" ht="14.65" customHeight="1">
      <c r="Q43" s="228"/>
      <c r="R43" s="313"/>
      <c r="S43" s="2232"/>
      <c r="T43" s="2180"/>
      <c r="U43" s="961"/>
      <c r="V43" s="2156"/>
      <c r="W43" s="2157"/>
      <c r="X43" s="2156"/>
      <c r="Y43" s="2157"/>
      <c r="Z43" s="2156"/>
      <c r="AA43" s="2262"/>
      <c r="AB43" s="2157"/>
      <c r="AC43" s="2237"/>
      <c r="AD43" s="2267"/>
      <c r="AE43" s="2268"/>
      <c r="AF43" s="2268"/>
      <c r="AG43" s="2280"/>
      <c r="AH43" s="2267"/>
      <c r="AI43" s="2268"/>
      <c r="AJ43" s="2268"/>
      <c r="AK43" s="2280"/>
      <c r="AL43" s="2267"/>
      <c r="AM43" s="2268"/>
      <c r="AN43" s="2268"/>
      <c r="AO43" s="2280"/>
      <c r="AP43" s="2267"/>
      <c r="AQ43" s="2268"/>
      <c r="AR43" s="2268"/>
      <c r="AS43" s="2280"/>
      <c r="AT43" s="2156"/>
      <c r="AU43" s="2157"/>
      <c r="AV43" s="2156"/>
      <c r="AW43" s="2157"/>
      <c r="AX43" s="2156"/>
      <c r="AY43" s="2262"/>
      <c r="AZ43" s="2157"/>
      <c r="BA43" s="2237"/>
      <c r="BB43" s="2240"/>
      <c r="BC43" s="2091"/>
      <c r="BI43" s="1082">
        <v>14</v>
      </c>
    </row>
    <row r="44" spans="1:61" ht="14.65" customHeight="1">
      <c r="A44" s="1297"/>
      <c r="B44" s="1297" t="s">
        <v>139</v>
      </c>
      <c r="C44" s="1297" t="s">
        <v>140</v>
      </c>
      <c r="D44" s="1297" t="s">
        <v>141</v>
      </c>
      <c r="E44" s="1291" t="s">
        <v>439</v>
      </c>
      <c r="F44" s="1291" t="s">
        <v>440</v>
      </c>
      <c r="G44" s="1291" t="s">
        <v>441</v>
      </c>
      <c r="H44" s="1291" t="s">
        <v>442</v>
      </c>
      <c r="I44" s="1291" t="s">
        <v>443</v>
      </c>
      <c r="J44" s="1291" t="s">
        <v>444</v>
      </c>
      <c r="K44" s="1291" t="s">
        <v>445</v>
      </c>
      <c r="L44" s="1291" t="s">
        <v>420</v>
      </c>
      <c r="Q44" s="228"/>
      <c r="R44" s="313"/>
      <c r="S44" s="2232"/>
      <c r="T44" s="2180"/>
      <c r="U44" s="239"/>
      <c r="V44" s="1375" t="s">
        <v>480</v>
      </c>
      <c r="W44" s="1375" t="s">
        <v>481</v>
      </c>
      <c r="X44" s="1375" t="s">
        <v>480</v>
      </c>
      <c r="Y44" s="1375" t="s">
        <v>481</v>
      </c>
      <c r="Z44" s="1382" t="s">
        <v>448</v>
      </c>
      <c r="AA44" s="2185" t="s">
        <v>449</v>
      </c>
      <c r="AB44" s="2199"/>
      <c r="AC44" s="2238"/>
      <c r="AD44" s="2269"/>
      <c r="AE44" s="2270"/>
      <c r="AF44" s="2270"/>
      <c r="AG44" s="2271"/>
      <c r="AH44" s="2269"/>
      <c r="AI44" s="2270"/>
      <c r="AJ44" s="2270"/>
      <c r="AK44" s="2271"/>
      <c r="AL44" s="2269"/>
      <c r="AM44" s="2270"/>
      <c r="AN44" s="2270"/>
      <c r="AO44" s="2271"/>
      <c r="AP44" s="2269"/>
      <c r="AQ44" s="2270"/>
      <c r="AR44" s="2270"/>
      <c r="AS44" s="2271"/>
      <c r="AT44" s="1375" t="s">
        <v>480</v>
      </c>
      <c r="AU44" s="1375" t="s">
        <v>481</v>
      </c>
      <c r="AV44" s="1375" t="s">
        <v>480</v>
      </c>
      <c r="AW44" s="1375" t="s">
        <v>481</v>
      </c>
      <c r="AX44" s="1382" t="s">
        <v>448</v>
      </c>
      <c r="AY44" s="2185" t="s">
        <v>449</v>
      </c>
      <c r="AZ44" s="2199"/>
      <c r="BA44" s="2238"/>
      <c r="BB44" s="2241"/>
      <c r="BC44" s="209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30">
        <f t="shared" ca="1" si="2"/>
        <v>8</v>
      </c>
      <c r="AB45" s="223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30">
        <f ca="1">OFFSET(AY45,0,-1)+1</f>
        <v>3</v>
      </c>
      <c r="AZ45" s="2230"/>
      <c r="BA45" s="1378">
        <f ca="1">OFFSET(BA45,0,-2)+1</f>
        <v>4</v>
      </c>
      <c r="BB45" s="1172">
        <f ca="1">OFFSET(BB45,0,-1)</f>
        <v>4</v>
      </c>
      <c r="BC45" s="1378">
        <f ca="1">OFFSET(BC45,0,-1)+1</f>
        <v>5</v>
      </c>
      <c r="BD45" s="448"/>
      <c r="BE45" s="448"/>
      <c r="BF45" s="448"/>
      <c r="BG45" s="448"/>
      <c r="BH45" s="448"/>
      <c r="BI45" s="433">
        <v>0</v>
      </c>
    </row>
    <row r="46" spans="1:61" ht="21.95" customHeight="1">
      <c r="A46" s="1290" t="s">
        <v>248</v>
      </c>
      <c r="B46" s="1290"/>
      <c r="C46" s="1290"/>
      <c r="D46" s="1290"/>
      <c r="E46" s="2219">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127</v>
      </c>
      <c r="U46" s="237"/>
      <c r="V46" s="2214"/>
      <c r="W46" s="2214"/>
      <c r="X46" s="2214"/>
      <c r="Y46" s="2214"/>
      <c r="Z46" s="2214"/>
      <c r="AA46" s="2214"/>
      <c r="AB46" s="2214"/>
      <c r="AC46" s="2215"/>
      <c r="AD46" s="2213" t="str">
        <f>INDEX(PT_DIFFERENTIATION_NTAR,MATCH(A46,PT_DIFFERENTIATION_NTAR_ID,0))</f>
        <v/>
      </c>
      <c r="AE46" s="2214"/>
      <c r="AF46" s="2214"/>
      <c r="AG46" s="2214"/>
      <c r="AH46" s="2214"/>
      <c r="AI46" s="2214"/>
      <c r="AJ46" s="2214"/>
      <c r="AK46" s="2214"/>
      <c r="AL46" s="2214"/>
      <c r="AM46" s="2214"/>
      <c r="AN46" s="2214"/>
      <c r="AO46" s="2214"/>
      <c r="AP46" s="2214"/>
      <c r="AQ46" s="2214"/>
      <c r="AR46" s="2214"/>
      <c r="AS46" s="2214"/>
      <c r="AT46" s="2214"/>
      <c r="AU46" s="2214"/>
      <c r="AV46" s="2214"/>
      <c r="AW46" s="2214"/>
      <c r="AX46" s="2214"/>
      <c r="AY46" s="2214"/>
      <c r="AZ46" s="2214"/>
      <c r="BA46" s="2214"/>
      <c r="BB46" s="221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248</v>
      </c>
      <c r="B47" s="1290" t="s">
        <v>249</v>
      </c>
      <c r="C47" s="1290"/>
      <c r="D47" s="1290"/>
      <c r="E47" s="2220"/>
      <c r="F47" s="2219">
        <v>1</v>
      </c>
      <c r="G47" s="1290"/>
      <c r="H47" s="1290"/>
      <c r="I47" s="1290"/>
      <c r="J47" s="1290"/>
      <c r="K47" s="1290"/>
      <c r="L47" s="1291"/>
      <c r="M47" s="1292"/>
      <c r="N47" s="1292"/>
      <c r="O47" s="1292"/>
      <c r="P47" s="1337"/>
      <c r="Q47" s="1338"/>
      <c r="R47" s="290"/>
      <c r="S47" s="1384" t="str">
        <f>INDEX(PT_DIFFERENTIATION_NUM_TER,MATCH(B47,PT_DIFFERENTIATION_TER_ID,0))</f>
        <v>.</v>
      </c>
      <c r="T47" s="245" t="s">
        <v>399</v>
      </c>
      <c r="U47" s="237"/>
      <c r="V47" s="2214"/>
      <c r="W47" s="2214"/>
      <c r="X47" s="2214"/>
      <c r="Y47" s="2214"/>
      <c r="Z47" s="2214"/>
      <c r="AA47" s="2214"/>
      <c r="AB47" s="2214"/>
      <c r="AC47" s="2215"/>
      <c r="AD47" s="2213" t="str">
        <f>INDEX(PT_DIFFERENTIATION_TER,MATCH(B47,PT_DIFFERENTIATION_TER_ID,0))</f>
        <v/>
      </c>
      <c r="AE47" s="2214"/>
      <c r="AF47" s="2214"/>
      <c r="AG47" s="2214"/>
      <c r="AH47" s="2214"/>
      <c r="AI47" s="2214"/>
      <c r="AJ47" s="2214"/>
      <c r="AK47" s="2214"/>
      <c r="AL47" s="2214"/>
      <c r="AM47" s="2214"/>
      <c r="AN47" s="2214"/>
      <c r="AO47" s="2214"/>
      <c r="AP47" s="2214"/>
      <c r="AQ47" s="2214"/>
      <c r="AR47" s="2214"/>
      <c r="AS47" s="2214"/>
      <c r="AT47" s="2214"/>
      <c r="AU47" s="2214"/>
      <c r="AV47" s="2214"/>
      <c r="AW47" s="2214"/>
      <c r="AX47" s="2214"/>
      <c r="AY47" s="2214"/>
      <c r="AZ47" s="2214"/>
      <c r="BA47" s="2214"/>
      <c r="BB47" s="2215"/>
      <c r="BC47" s="1185" t="s">
        <v>400</v>
      </c>
      <c r="BE47" s="437"/>
      <c r="BF47" s="437" t="str">
        <f t="shared" si="3"/>
        <v>Территория действия тарифа</v>
      </c>
      <c r="BG47" s="437"/>
      <c r="BH47" s="437"/>
      <c r="BI47" s="1082">
        <v>21</v>
      </c>
    </row>
    <row r="48" spans="1:61" ht="43.15" customHeight="1">
      <c r="A48" s="1290" t="s">
        <v>248</v>
      </c>
      <c r="B48" s="1290" t="s">
        <v>249</v>
      </c>
      <c r="C48" s="1290" t="s">
        <v>250</v>
      </c>
      <c r="D48" s="1290"/>
      <c r="E48" s="2220"/>
      <c r="F48" s="2220"/>
      <c r="G48" s="2219">
        <v>1</v>
      </c>
      <c r="H48" s="1290"/>
      <c r="I48" s="1290"/>
      <c r="J48" s="1290"/>
      <c r="K48" s="1290"/>
      <c r="L48" s="1291"/>
      <c r="M48" s="1292"/>
      <c r="N48" s="1292"/>
      <c r="O48" s="1292"/>
      <c r="P48" s="1339"/>
      <c r="Q48" s="1338"/>
      <c r="R48" s="290"/>
      <c r="S48" s="1384" t="str">
        <f>INDEX(PT_DIFFERENTIATION_NUM_CS,MATCH(C48,PT_DIFFERENTIATION_CS_ID,0))</f>
        <v>..</v>
      </c>
      <c r="T48" s="246" t="s">
        <v>483</v>
      </c>
      <c r="U48" s="237"/>
      <c r="V48" s="2214"/>
      <c r="W48" s="2214"/>
      <c r="X48" s="2214"/>
      <c r="Y48" s="2214"/>
      <c r="Z48" s="2214"/>
      <c r="AA48" s="2214"/>
      <c r="AB48" s="2214"/>
      <c r="AC48" s="2215"/>
      <c r="AD48" s="2213" t="str">
        <f>INDEX(PT_DIFFERENTIATION_CS,MATCH(C48,PT_DIFFERENTIATION_CS_ID,0))</f>
        <v/>
      </c>
      <c r="AE48" s="2214"/>
      <c r="AF48" s="2214"/>
      <c r="AG48" s="2214"/>
      <c r="AH48" s="2214"/>
      <c r="AI48" s="2214"/>
      <c r="AJ48" s="2214"/>
      <c r="AK48" s="2214"/>
      <c r="AL48" s="2214"/>
      <c r="AM48" s="2214"/>
      <c r="AN48" s="2214"/>
      <c r="AO48" s="2214"/>
      <c r="AP48" s="2214"/>
      <c r="AQ48" s="2214"/>
      <c r="AR48" s="2214"/>
      <c r="AS48" s="2214"/>
      <c r="AT48" s="2214"/>
      <c r="AU48" s="2214"/>
      <c r="AV48" s="2214"/>
      <c r="AW48" s="2214"/>
      <c r="AX48" s="2214"/>
      <c r="AY48" s="2214"/>
      <c r="AZ48" s="2214"/>
      <c r="BA48" s="2214"/>
      <c r="BB48" s="2215"/>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248</v>
      </c>
      <c r="B49" s="1270" t="s">
        <v>249</v>
      </c>
      <c r="C49" s="1270" t="s">
        <v>250</v>
      </c>
      <c r="D49" s="1270" t="s">
        <v>517</v>
      </c>
      <c r="E49" s="2220"/>
      <c r="F49" s="2220"/>
      <c r="G49" s="2220"/>
      <c r="H49" s="2219">
        <v>1</v>
      </c>
      <c r="I49" s="1270"/>
      <c r="J49" s="1270"/>
      <c r="K49" s="1270"/>
      <c r="L49" s="1273"/>
      <c r="M49" s="1242"/>
      <c r="N49" s="1242"/>
      <c r="O49" s="1242"/>
      <c r="P49" s="1424"/>
      <c r="Q49" s="1425"/>
      <c r="R49" s="294"/>
      <c r="S49" s="972"/>
      <c r="T49" s="1426"/>
      <c r="U49" s="1311"/>
      <c r="V49" s="2251"/>
      <c r="W49" s="2251"/>
      <c r="X49" s="2251"/>
      <c r="Y49" s="2251"/>
      <c r="Z49" s="2251"/>
      <c r="AA49" s="2251"/>
      <c r="AB49" s="2251"/>
      <c r="AC49" s="2252"/>
      <c r="AD49" s="2250"/>
      <c r="AE49" s="2251"/>
      <c r="AF49" s="2251"/>
      <c r="AG49" s="2251"/>
      <c r="AH49" s="2251"/>
      <c r="AI49" s="2251"/>
      <c r="AJ49" s="2251"/>
      <c r="AK49" s="2251"/>
      <c r="AL49" s="2251"/>
      <c r="AM49" s="2251"/>
      <c r="AN49" s="2251"/>
      <c r="AO49" s="2251"/>
      <c r="AP49" s="2251"/>
      <c r="AQ49" s="2251"/>
      <c r="AR49" s="2251"/>
      <c r="AS49" s="2251"/>
      <c r="AT49" s="2251"/>
      <c r="AU49" s="2251"/>
      <c r="AV49" s="2251"/>
      <c r="AW49" s="2251"/>
      <c r="AX49" s="2251"/>
      <c r="AY49" s="2251"/>
      <c r="AZ49" s="2251"/>
      <c r="BA49" s="2251"/>
      <c r="BB49" s="2252"/>
      <c r="BC49" s="1312" t="s">
        <v>404</v>
      </c>
      <c r="BE49" s="437"/>
      <c r="BF49" s="437" t="str">
        <f t="shared" si="3"/>
        <v/>
      </c>
      <c r="BG49" s="437"/>
      <c r="BH49" s="437"/>
      <c r="BI49" s="448">
        <v>0</v>
      </c>
    </row>
    <row r="50" spans="1:61" s="1569" customFormat="1" ht="0" hidden="1" customHeight="1">
      <c r="A50" s="1270" t="s">
        <v>248</v>
      </c>
      <c r="B50" s="1270" t="s">
        <v>249</v>
      </c>
      <c r="C50" s="1270" t="s">
        <v>250</v>
      </c>
      <c r="D50" s="1270" t="s">
        <v>517</v>
      </c>
      <c r="E50" s="2220"/>
      <c r="F50" s="2220"/>
      <c r="G50" s="2220"/>
      <c r="H50" s="2220"/>
      <c r="I50" s="2221" t="str">
        <f>S49&amp;".1"</f>
        <v>.1</v>
      </c>
      <c r="J50" s="1270"/>
      <c r="K50" s="1270"/>
      <c r="L50" s="1273" t="s">
        <v>405</v>
      </c>
      <c r="M50" s="447"/>
      <c r="N50" s="447"/>
      <c r="O50" s="447"/>
      <c r="P50" s="2223">
        <v>1</v>
      </c>
      <c r="Q50" s="1389"/>
      <c r="R50" s="293"/>
      <c r="S50" s="972"/>
      <c r="T50" s="1310"/>
      <c r="U50" s="1311"/>
      <c r="V50" s="2251"/>
      <c r="W50" s="2251"/>
      <c r="X50" s="2251"/>
      <c r="Y50" s="2251"/>
      <c r="Z50" s="2251"/>
      <c r="AA50" s="2251"/>
      <c r="AB50" s="2251"/>
      <c r="AC50" s="2252"/>
      <c r="AD50" s="2250"/>
      <c r="AE50" s="2251"/>
      <c r="AF50" s="2251"/>
      <c r="AG50" s="2251"/>
      <c r="AH50" s="2251"/>
      <c r="AI50" s="2251"/>
      <c r="AJ50" s="2251"/>
      <c r="AK50" s="2251"/>
      <c r="AL50" s="2251"/>
      <c r="AM50" s="2251"/>
      <c r="AN50" s="2251"/>
      <c r="AO50" s="2251"/>
      <c r="AP50" s="2251"/>
      <c r="AQ50" s="2251"/>
      <c r="AR50" s="2251"/>
      <c r="AS50" s="2251"/>
      <c r="AT50" s="2251"/>
      <c r="AU50" s="2251"/>
      <c r="AV50" s="2251"/>
      <c r="AW50" s="2251"/>
      <c r="AX50" s="2251"/>
      <c r="AY50" s="2251"/>
      <c r="AZ50" s="2251"/>
      <c r="BA50" s="2251"/>
      <c r="BB50" s="2252"/>
      <c r="BC50" s="1312"/>
      <c r="BE50" s="437"/>
      <c r="BF50" s="437" t="str">
        <f t="shared" si="3"/>
        <v/>
      </c>
      <c r="BG50" s="437"/>
      <c r="BH50" s="437"/>
      <c r="BI50" s="448">
        <v>0</v>
      </c>
    </row>
    <row r="51" spans="1:61" s="1569" customFormat="1" ht="0" hidden="1" customHeight="1">
      <c r="A51" s="1270" t="s">
        <v>248</v>
      </c>
      <c r="B51" s="1270" t="s">
        <v>249</v>
      </c>
      <c r="C51" s="1270" t="s">
        <v>250</v>
      </c>
      <c r="D51" s="1270" t="s">
        <v>517</v>
      </c>
      <c r="E51" s="2220"/>
      <c r="F51" s="2220"/>
      <c r="G51" s="2220"/>
      <c r="H51" s="2220"/>
      <c r="I51" s="2222"/>
      <c r="J51" s="2221" t="str">
        <f>S49&amp;".1"</f>
        <v>.1</v>
      </c>
      <c r="K51" s="1270"/>
      <c r="L51" s="1273"/>
      <c r="M51" s="447"/>
      <c r="N51" s="447"/>
      <c r="O51" s="447"/>
      <c r="P51" s="2223"/>
      <c r="Q51" s="2223">
        <v>1</v>
      </c>
      <c r="R51" s="294"/>
      <c r="S51" s="972"/>
      <c r="T51" s="1326"/>
      <c r="U51" s="1311"/>
      <c r="V51" s="2251"/>
      <c r="W51" s="2251"/>
      <c r="X51" s="2251"/>
      <c r="Y51" s="2251"/>
      <c r="Z51" s="2251"/>
      <c r="AA51" s="2251"/>
      <c r="AB51" s="2251"/>
      <c r="AC51" s="2252"/>
      <c r="AD51" s="2250"/>
      <c r="AE51" s="2251"/>
      <c r="AF51" s="2251"/>
      <c r="AG51" s="2251"/>
      <c r="AH51" s="2251"/>
      <c r="AI51" s="2251"/>
      <c r="AJ51" s="2251"/>
      <c r="AK51" s="2251"/>
      <c r="AL51" s="2251"/>
      <c r="AM51" s="2251"/>
      <c r="AN51" s="2302"/>
      <c r="AO51" s="2302"/>
      <c r="AP51" s="2251"/>
      <c r="AQ51" s="2251"/>
      <c r="AR51" s="2251"/>
      <c r="AS51" s="2251"/>
      <c r="AT51" s="2251"/>
      <c r="AU51" s="2251"/>
      <c r="AV51" s="2251"/>
      <c r="AW51" s="2251"/>
      <c r="AX51" s="2251"/>
      <c r="AY51" s="2251"/>
      <c r="AZ51" s="2251"/>
      <c r="BA51" s="2251"/>
      <c r="BB51" s="2252"/>
      <c r="BC51" s="1312"/>
      <c r="BE51" s="437"/>
      <c r="BF51" s="437" t="str">
        <f t="shared" si="3"/>
        <v/>
      </c>
      <c r="BG51" s="437"/>
      <c r="BH51" s="437"/>
      <c r="BI51" s="448">
        <v>0</v>
      </c>
    </row>
    <row r="52" spans="1:61" ht="11.45" customHeight="1">
      <c r="A52" s="1290" t="s">
        <v>248</v>
      </c>
      <c r="B52" s="1290" t="s">
        <v>249</v>
      </c>
      <c r="C52" s="1290" t="s">
        <v>250</v>
      </c>
      <c r="D52" s="1290" t="s">
        <v>517</v>
      </c>
      <c r="E52" s="2220"/>
      <c r="F52" s="2220"/>
      <c r="G52" s="2220"/>
      <c r="H52" s="2220"/>
      <c r="I52" s="2222"/>
      <c r="J52" s="2222"/>
      <c r="K52" s="2221" t="str">
        <f>S48&amp;".1"</f>
        <v>...1</v>
      </c>
      <c r="L52" s="1291"/>
      <c r="P52" s="2223"/>
      <c r="Q52" s="2223"/>
      <c r="R52" s="294">
        <v>1</v>
      </c>
      <c r="S52" s="2276" t="str">
        <f>$K52</f>
        <v>...1</v>
      </c>
      <c r="T52" s="2296"/>
      <c r="U52" s="237"/>
      <c r="V52" s="688"/>
      <c r="W52" s="1184"/>
      <c r="X52" s="688"/>
      <c r="Y52" s="1184"/>
      <c r="Z52" s="1661"/>
      <c r="AA52" s="1386" t="s">
        <v>65</v>
      </c>
      <c r="AB52" s="1661"/>
      <c r="AC52" s="1386" t="s">
        <v>65</v>
      </c>
      <c r="AD52" s="2163" t="s">
        <v>65</v>
      </c>
      <c r="AE52" s="2272"/>
      <c r="AF52" s="2176">
        <v>1</v>
      </c>
      <c r="AG52" s="2295"/>
      <c r="AH52" s="2102" t="s">
        <v>65</v>
      </c>
      <c r="AI52" s="2272"/>
      <c r="AJ52" s="2176">
        <v>1</v>
      </c>
      <c r="AK52" s="2286" t="s">
        <v>22</v>
      </c>
      <c r="AL52" s="2102" t="s">
        <v>65</v>
      </c>
      <c r="AM52" s="2151"/>
      <c r="AN52" s="2176">
        <v>1</v>
      </c>
      <c r="AO52" s="2299"/>
      <c r="AP52" s="2300" t="s">
        <v>65</v>
      </c>
      <c r="AQ52" s="248"/>
      <c r="AR52" s="1390">
        <v>1</v>
      </c>
      <c r="AS52" s="1393" t="s">
        <v>22</v>
      </c>
      <c r="AT52" s="688"/>
      <c r="AU52" s="1184"/>
      <c r="AV52" s="688"/>
      <c r="AW52" s="1184"/>
      <c r="AX52" s="1661"/>
      <c r="AY52" s="1386" t="s">
        <v>65</v>
      </c>
      <c r="AZ52" s="1661"/>
      <c r="BA52" s="1386" t="s">
        <v>65</v>
      </c>
      <c r="BB52" s="1275"/>
      <c r="BC52" s="2242" t="s">
        <v>503</v>
      </c>
      <c r="BE52" s="437"/>
      <c r="BF52" s="437" t="str">
        <f t="shared" si="3"/>
        <v/>
      </c>
      <c r="BG52" s="437"/>
      <c r="BH52" s="437"/>
      <c r="BI52" s="1082">
        <v>11</v>
      </c>
    </row>
    <row r="53" spans="1:61" ht="11.45" customHeight="1">
      <c r="A53" s="1290"/>
      <c r="B53" s="1290"/>
      <c r="C53" s="1290"/>
      <c r="D53" s="1290"/>
      <c r="E53" s="2220"/>
      <c r="F53" s="2220"/>
      <c r="G53" s="2220"/>
      <c r="H53" s="2220"/>
      <c r="I53" s="2222"/>
      <c r="J53" s="2222"/>
      <c r="K53" s="2221"/>
      <c r="L53" s="1291"/>
      <c r="P53" s="2223"/>
      <c r="Q53" s="2223"/>
      <c r="R53" s="294"/>
      <c r="S53" s="2277"/>
      <c r="T53" s="2297"/>
      <c r="U53" s="237"/>
      <c r="V53" s="1320"/>
      <c r="W53" s="1423"/>
      <c r="X53" s="1320"/>
      <c r="Y53" s="1423"/>
      <c r="Z53" s="1320"/>
      <c r="AA53" s="1320"/>
      <c r="AB53" s="1320"/>
      <c r="AC53" s="1320"/>
      <c r="AD53" s="2164"/>
      <c r="AE53" s="2272"/>
      <c r="AF53" s="2176"/>
      <c r="AG53" s="2295"/>
      <c r="AH53" s="2102"/>
      <c r="AI53" s="2272"/>
      <c r="AJ53" s="2176"/>
      <c r="AK53" s="2286"/>
      <c r="AL53" s="2102"/>
      <c r="AM53" s="2156"/>
      <c r="AN53" s="2176"/>
      <c r="AO53" s="2299"/>
      <c r="AP53" s="2301"/>
      <c r="AQ53" s="253"/>
      <c r="AR53" s="353"/>
      <c r="AS53" s="353" t="s">
        <v>504</v>
      </c>
      <c r="AT53" s="1320"/>
      <c r="AU53" s="1423"/>
      <c r="AV53" s="1320"/>
      <c r="AW53" s="1423"/>
      <c r="AX53" s="1320"/>
      <c r="AY53" s="1320"/>
      <c r="AZ53" s="1320"/>
      <c r="BA53" s="1320"/>
      <c r="BB53" s="1324"/>
      <c r="BC53" s="2243"/>
      <c r="BE53" s="437"/>
      <c r="BF53" s="437"/>
      <c r="BG53" s="437"/>
      <c r="BH53" s="437"/>
      <c r="BI53" s="1082">
        <v>11</v>
      </c>
    </row>
    <row r="54" spans="1:61" ht="11.45" customHeight="1">
      <c r="A54" s="1290" t="s">
        <v>248</v>
      </c>
      <c r="B54" s="1290"/>
      <c r="C54" s="1290"/>
      <c r="D54" s="1290"/>
      <c r="E54" s="2220"/>
      <c r="F54" s="2220"/>
      <c r="G54" s="2220"/>
      <c r="H54" s="2220"/>
      <c r="I54" s="2222"/>
      <c r="J54" s="2222"/>
      <c r="K54" s="2221"/>
      <c r="L54" s="1291"/>
      <c r="P54" s="2223"/>
      <c r="Q54" s="2223"/>
      <c r="R54" s="294"/>
      <c r="S54" s="2277"/>
      <c r="T54" s="2297"/>
      <c r="U54" s="237"/>
      <c r="V54" s="1320"/>
      <c r="W54" s="1423"/>
      <c r="X54" s="1320"/>
      <c r="Y54" s="1423"/>
      <c r="Z54" s="1320"/>
      <c r="AA54" s="1320"/>
      <c r="AB54" s="1320"/>
      <c r="AC54" s="1320"/>
      <c r="AD54" s="2164"/>
      <c r="AE54" s="2272"/>
      <c r="AF54" s="2176"/>
      <c r="AG54" s="2295"/>
      <c r="AH54" s="2102"/>
      <c r="AI54" s="2272"/>
      <c r="AJ54" s="2176"/>
      <c r="AK54" s="2286"/>
      <c r="AL54" s="2102"/>
      <c r="AM54" s="253"/>
      <c r="AN54" s="1427"/>
      <c r="AO54" s="1427" t="s">
        <v>505</v>
      </c>
      <c r="AP54" s="353"/>
      <c r="AQ54" s="353"/>
      <c r="AR54" s="353"/>
      <c r="AS54" s="1320"/>
      <c r="AT54" s="1320"/>
      <c r="AU54" s="1423"/>
      <c r="AV54" s="1320"/>
      <c r="AW54" s="1423"/>
      <c r="AX54" s="1320"/>
      <c r="AY54" s="1320"/>
      <c r="AZ54" s="1320"/>
      <c r="BA54" s="1320"/>
      <c r="BB54" s="1324"/>
      <c r="BC54" s="2243"/>
      <c r="BE54" s="437"/>
      <c r="BF54" s="437"/>
      <c r="BG54" s="437"/>
      <c r="BH54" s="437"/>
      <c r="BI54" s="1082">
        <v>11</v>
      </c>
    </row>
    <row r="55" spans="1:61" ht="11.45" customHeight="1">
      <c r="A55" s="1290" t="s">
        <v>248</v>
      </c>
      <c r="B55" s="1290"/>
      <c r="C55" s="1290"/>
      <c r="D55" s="1290"/>
      <c r="E55" s="2220"/>
      <c r="F55" s="2220"/>
      <c r="G55" s="2220"/>
      <c r="H55" s="2220"/>
      <c r="I55" s="2222"/>
      <c r="J55" s="2222"/>
      <c r="K55" s="2221"/>
      <c r="L55" s="1291"/>
      <c r="P55" s="2223"/>
      <c r="Q55" s="2223"/>
      <c r="R55" s="294"/>
      <c r="S55" s="2277"/>
      <c r="T55" s="2297"/>
      <c r="U55" s="237"/>
      <c r="V55" s="1320"/>
      <c r="W55" s="1423"/>
      <c r="X55" s="1320"/>
      <c r="Y55" s="1423"/>
      <c r="Z55" s="1320"/>
      <c r="AA55" s="1320"/>
      <c r="AB55" s="1320"/>
      <c r="AC55" s="1320"/>
      <c r="AD55" s="2164"/>
      <c r="AE55" s="2272"/>
      <c r="AF55" s="2176"/>
      <c r="AG55" s="2295"/>
      <c r="AH55" s="2102"/>
      <c r="AI55" s="231"/>
      <c r="AJ55" s="352"/>
      <c r="AK55" s="250" t="s">
        <v>506</v>
      </c>
      <c r="AL55" s="1320"/>
      <c r="AM55" s="1320"/>
      <c r="AN55" s="1320"/>
      <c r="AO55" s="1320"/>
      <c r="AP55" s="1320"/>
      <c r="AQ55" s="1320"/>
      <c r="AR55" s="1320"/>
      <c r="AS55" s="1320"/>
      <c r="AT55" s="1320"/>
      <c r="AU55" s="1423"/>
      <c r="AV55" s="1320"/>
      <c r="AW55" s="1423"/>
      <c r="AX55" s="1320"/>
      <c r="AY55" s="1320"/>
      <c r="AZ55" s="1320"/>
      <c r="BA55" s="1320"/>
      <c r="BB55" s="1324"/>
      <c r="BC55" s="2243"/>
      <c r="BE55" s="437"/>
      <c r="BF55" s="437"/>
      <c r="BG55" s="437"/>
      <c r="BH55" s="437"/>
      <c r="BI55" s="1082">
        <v>11</v>
      </c>
    </row>
    <row r="56" spans="1:61" ht="11.45" customHeight="1">
      <c r="A56" s="1290" t="s">
        <v>248</v>
      </c>
      <c r="B56" s="1290" t="s">
        <v>249</v>
      </c>
      <c r="C56" s="1290" t="s">
        <v>250</v>
      </c>
      <c r="D56" s="1290" t="s">
        <v>517</v>
      </c>
      <c r="E56" s="2220"/>
      <c r="F56" s="2220"/>
      <c r="G56" s="2220"/>
      <c r="H56" s="2220"/>
      <c r="I56" s="2222"/>
      <c r="J56" s="2222"/>
      <c r="K56" s="2221"/>
      <c r="L56" s="1291"/>
      <c r="P56" s="2223"/>
      <c r="Q56" s="2223"/>
      <c r="R56" s="294"/>
      <c r="S56" s="2278"/>
      <c r="T56" s="2298"/>
      <c r="U56" s="237"/>
      <c r="V56" s="1320"/>
      <c r="W56" s="1321" t="str">
        <f>Z52&amp;"-"&amp;AB52</f>
        <v>-</v>
      </c>
      <c r="X56" s="1320"/>
      <c r="Y56" s="1321" t="str">
        <f>AB52&amp;"-"&amp;AD52</f>
        <v>-да</v>
      </c>
      <c r="Z56" s="1320"/>
      <c r="AA56" s="1320"/>
      <c r="AB56" s="1320"/>
      <c r="AC56" s="1320"/>
      <c r="AD56" s="2107"/>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3"/>
      <c r="BE56" s="437"/>
      <c r="BF56" s="437" t="str">
        <f t="shared" ref="BF56:BF63" si="4">IF(T56="","",T56)</f>
        <v/>
      </c>
      <c r="BG56" s="437"/>
      <c r="BH56" s="437"/>
      <c r="BI56" s="1082">
        <v>11</v>
      </c>
    </row>
    <row r="57" spans="1:61" ht="11.45" customHeight="1">
      <c r="A57" s="1290" t="s">
        <v>248</v>
      </c>
      <c r="B57" s="1290" t="s">
        <v>249</v>
      </c>
      <c r="C57" s="1290" t="s">
        <v>250</v>
      </c>
      <c r="D57" s="1290" t="s">
        <v>517</v>
      </c>
      <c r="E57" s="2220"/>
      <c r="F57" s="2220"/>
      <c r="G57" s="2220"/>
      <c r="H57" s="2220"/>
      <c r="I57" s="2222"/>
      <c r="J57" s="2221"/>
      <c r="K57" s="1290"/>
      <c r="L57" s="1291"/>
      <c r="P57" s="2223"/>
      <c r="Q57" s="2223"/>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4"/>
      <c r="BE57" s="437"/>
      <c r="BF57" s="437" t="str">
        <f t="shared" si="4"/>
        <v>Добавить строку</v>
      </c>
      <c r="BG57" s="437"/>
      <c r="BH57" s="437"/>
      <c r="BI57" s="1082">
        <v>11</v>
      </c>
    </row>
    <row r="58" spans="1:61" s="1569" customFormat="1" ht="0" hidden="1" customHeight="1">
      <c r="A58" s="1270" t="s">
        <v>248</v>
      </c>
      <c r="B58" s="1270" t="s">
        <v>249</v>
      </c>
      <c r="C58" s="1270" t="s">
        <v>250</v>
      </c>
      <c r="D58" s="1270" t="s">
        <v>517</v>
      </c>
      <c r="E58" s="2220"/>
      <c r="F58" s="2220"/>
      <c r="G58" s="2220"/>
      <c r="H58" s="2220"/>
      <c r="I58" s="2221"/>
      <c r="J58" s="1270"/>
      <c r="K58" s="1270"/>
      <c r="L58" s="1273"/>
      <c r="M58" s="447"/>
      <c r="N58" s="447"/>
      <c r="O58" s="447"/>
      <c r="P58" s="222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248</v>
      </c>
      <c r="B59" s="1270" t="s">
        <v>249</v>
      </c>
      <c r="C59" s="1270" t="s">
        <v>250</v>
      </c>
      <c r="D59" s="1270" t="s">
        <v>517</v>
      </c>
      <c r="E59" s="2220"/>
      <c r="F59" s="2220"/>
      <c r="G59" s="2220"/>
      <c r="H59" s="221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248</v>
      </c>
      <c r="B60" s="1270" t="s">
        <v>249</v>
      </c>
      <c r="C60" s="1270" t="s">
        <v>250</v>
      </c>
      <c r="D60" s="1241"/>
      <c r="E60" s="2220"/>
      <c r="F60" s="2220"/>
      <c r="G60" s="221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248</v>
      </c>
      <c r="B61" s="1270" t="s">
        <v>249</v>
      </c>
      <c r="C61" s="1241"/>
      <c r="D61" s="1241"/>
      <c r="E61" s="2220"/>
      <c r="F61" s="2219"/>
      <c r="G61" s="1241"/>
      <c r="H61" s="1241"/>
      <c r="I61" s="1241"/>
      <c r="J61" s="1241"/>
      <c r="K61" s="1241"/>
      <c r="L61" s="1391"/>
      <c r="M61" s="1248"/>
      <c r="N61" s="1248"/>
      <c r="P61" s="1243"/>
      <c r="Q61" s="1244"/>
      <c r="R61" s="1243"/>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248</v>
      </c>
      <c r="B62" s="1270"/>
      <c r="C62" s="1270"/>
      <c r="D62" s="1270"/>
      <c r="E62" s="2219"/>
      <c r="F62" s="1270"/>
      <c r="G62" s="1270"/>
      <c r="H62" s="1270"/>
      <c r="I62" s="1270"/>
      <c r="J62" s="1270"/>
      <c r="K62" s="1270"/>
      <c r="L62" s="1273"/>
      <c r="M62" s="1248"/>
      <c r="N62" s="1248"/>
      <c r="O62" s="455"/>
      <c r="P62" s="317"/>
      <c r="Q62" s="1271"/>
      <c r="R62" s="317"/>
      <c r="S62" s="1249"/>
      <c r="T62" s="1252" t="s">
        <v>418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450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c r="AS65" s="2218"/>
      <c r="AT65" s="2218"/>
      <c r="AU65" s="2218"/>
      <c r="AV65" s="2218"/>
      <c r="AW65" s="2218"/>
      <c r="AX65" s="2218"/>
      <c r="AY65" s="2218"/>
      <c r="AZ65" s="2218"/>
      <c r="BA65" s="2218"/>
      <c r="BB65" s="2218"/>
      <c r="BC65" s="221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c r="AS67" s="2218"/>
      <c r="AT67" s="2218"/>
      <c r="AU67" s="2218"/>
      <c r="AV67" s="2218"/>
      <c r="AW67" s="2218"/>
      <c r="AX67" s="2218"/>
      <c r="AY67" s="2218"/>
      <c r="AZ67" s="2218"/>
      <c r="BA67" s="2218"/>
      <c r="BB67" s="2218"/>
      <c r="BC67" s="221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9">
        <v>1</v>
      </c>
      <c r="F2" s="1290"/>
      <c r="G2" s="1290"/>
      <c r="H2" s="1290"/>
      <c r="I2" s="1290"/>
      <c r="J2" s="1290"/>
      <c r="K2" s="1290"/>
      <c r="L2" s="1291"/>
      <c r="M2" s="1292"/>
      <c r="N2" s="1292"/>
      <c r="O2" s="1292"/>
      <c r="P2" s="298"/>
      <c r="Q2" s="297"/>
      <c r="R2" s="292"/>
      <c r="S2" s="1420"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0"/>
      <c r="F3" s="2219">
        <v>1</v>
      </c>
      <c r="G3" s="1290"/>
      <c r="H3" s="1290"/>
      <c r="I3" s="1290"/>
      <c r="J3" s="1290"/>
      <c r="K3" s="1290"/>
      <c r="L3" s="1291"/>
      <c r="M3" s="1292"/>
      <c r="N3" s="1292"/>
      <c r="O3" s="1292"/>
      <c r="P3" s="1414"/>
      <c r="Q3" s="289"/>
      <c r="R3" s="290"/>
      <c r="S3" s="1420"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5" t="s">
        <v>400</v>
      </c>
      <c r="AM3" s="437"/>
      <c r="AN3" s="437" t="str">
        <f t="shared" si="0"/>
        <v>Территория действия тарифа</v>
      </c>
      <c r="AO3" s="437"/>
      <c r="AP3" s="437"/>
      <c r="AQ3" s="1082">
        <v>0</v>
      </c>
    </row>
    <row r="4" spans="1:43" ht="23.25" hidden="1" customHeight="1">
      <c r="A4" s="1290"/>
      <c r="B4" s="1290"/>
      <c r="C4" s="1290"/>
      <c r="D4" s="1290"/>
      <c r="E4" s="2220"/>
      <c r="F4" s="2220"/>
      <c r="G4" s="2219">
        <v>1</v>
      </c>
      <c r="H4" s="1290"/>
      <c r="I4" s="1290"/>
      <c r="J4" s="1290"/>
      <c r="K4" s="1290"/>
      <c r="L4" s="1291"/>
      <c r="M4" s="1292"/>
      <c r="N4" s="1292"/>
      <c r="O4" s="1292"/>
      <c r="P4" s="291"/>
      <c r="Q4" s="289"/>
      <c r="R4" s="290"/>
      <c r="S4" s="1420" t="e">
        <f>INDEX(PT_DIFFERENTIATION_NUM_CS,MATCH(C4,PT_DIFFERENTIATION_CS_ID,0))</f>
        <v>#N/A</v>
      </c>
      <c r="T4" s="246" t="s">
        <v>518</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0"/>
      <c r="F5" s="2220"/>
      <c r="G5" s="2220"/>
      <c r="H5" s="2220"/>
      <c r="I5" s="2221" t="e">
        <f>S4&amp;".1"</f>
        <v>#N/A</v>
      </c>
      <c r="J5" s="1290"/>
      <c r="K5" s="1290"/>
      <c r="L5" s="1291"/>
      <c r="P5" s="2223">
        <v>1</v>
      </c>
      <c r="Q5" s="1408"/>
      <c r="R5" s="293"/>
      <c r="S5" s="1420" t="e">
        <f>$I5</f>
        <v>#N/A</v>
      </c>
      <c r="T5" s="222" t="s">
        <v>485</v>
      </c>
      <c r="U5" s="237"/>
      <c r="V5" s="2287"/>
      <c r="W5" s="2288"/>
      <c r="X5" s="2288"/>
      <c r="Y5" s="2288"/>
      <c r="Z5" s="2288"/>
      <c r="AA5" s="2288"/>
      <c r="AB5" s="2289"/>
      <c r="AC5" s="2290"/>
      <c r="AD5" s="2291"/>
      <c r="AE5" s="2291"/>
      <c r="AF5" s="2291"/>
      <c r="AG5" s="2291"/>
      <c r="AH5" s="2291"/>
      <c r="AI5" s="2291"/>
      <c r="AJ5" s="2292"/>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0"/>
      <c r="F6" s="2220"/>
      <c r="G6" s="2220"/>
      <c r="H6" s="2220"/>
      <c r="I6" s="2222"/>
      <c r="J6" s="2221" t="e">
        <f>I5&amp;".1"</f>
        <v>#N/A</v>
      </c>
      <c r="K6" s="1290"/>
      <c r="L6" s="1291" t="s">
        <v>408</v>
      </c>
      <c r="P6" s="2223"/>
      <c r="Q6" s="2223">
        <v>1</v>
      </c>
      <c r="R6" s="294"/>
      <c r="S6" s="1420" t="e">
        <f>$J6</f>
        <v>#N/A</v>
      </c>
      <c r="T6" s="223" t="s">
        <v>409</v>
      </c>
      <c r="U6" s="237"/>
      <c r="V6" s="2207"/>
      <c r="W6" s="2208"/>
      <c r="X6" s="2208"/>
      <c r="Y6" s="2208"/>
      <c r="Z6" s="2208"/>
      <c r="AA6" s="2208"/>
      <c r="AB6" s="2209"/>
      <c r="AC6" s="2207"/>
      <c r="AD6" s="2208"/>
      <c r="AE6" s="2208"/>
      <c r="AF6" s="2208"/>
      <c r="AG6" s="2208"/>
      <c r="AH6" s="2208"/>
      <c r="AI6" s="2208"/>
      <c r="AJ6" s="2209"/>
      <c r="AK6" s="1234" t="s">
        <v>487</v>
      </c>
      <c r="AM6" s="437"/>
      <c r="AN6" s="437" t="str">
        <f t="shared" si="0"/>
        <v>Группа потребителей</v>
      </c>
      <c r="AO6" s="437"/>
      <c r="AP6" s="437"/>
      <c r="AQ6" s="1082">
        <v>0</v>
      </c>
    </row>
    <row r="7" spans="1:43" ht="23.25" hidden="1" customHeight="1">
      <c r="A7" s="1290"/>
      <c r="B7" s="1290"/>
      <c r="C7" s="1290"/>
      <c r="D7" s="1290"/>
      <c r="E7" s="2220"/>
      <c r="F7" s="2220"/>
      <c r="G7" s="2220"/>
      <c r="H7" s="2220"/>
      <c r="I7" s="2222"/>
      <c r="J7" s="2222"/>
      <c r="K7" s="2221" t="e">
        <f>J6&amp;".1"</f>
        <v>#N/A</v>
      </c>
      <c r="L7" s="1291"/>
      <c r="P7" s="2223"/>
      <c r="Q7" s="2223"/>
      <c r="R7" s="294">
        <v>1</v>
      </c>
      <c r="S7" s="1420" t="e">
        <f>$K7</f>
        <v>#N/A</v>
      </c>
      <c r="T7" s="1364"/>
      <c r="U7" s="237"/>
      <c r="V7" s="688"/>
      <c r="W7" s="688"/>
      <c r="X7" s="1184"/>
      <c r="Y7" s="2224"/>
      <c r="Z7" s="2102" t="s">
        <v>65</v>
      </c>
      <c r="AA7" s="2224"/>
      <c r="AB7" s="2102" t="s">
        <v>65</v>
      </c>
      <c r="AC7" s="688"/>
      <c r="AD7" s="688"/>
      <c r="AE7" s="1184"/>
      <c r="AF7" s="2224"/>
      <c r="AG7" s="2102" t="s">
        <v>65</v>
      </c>
      <c r="AH7" s="2226"/>
      <c r="AI7" s="2102" t="s">
        <v>65</v>
      </c>
      <c r="AJ7" s="1365"/>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0"/>
      <c r="F8" s="2220"/>
      <c r="G8" s="2220"/>
      <c r="H8" s="2220"/>
      <c r="I8" s="2222"/>
      <c r="J8" s="2222"/>
      <c r="K8" s="2221"/>
      <c r="L8" s="1291"/>
      <c r="P8" s="2223"/>
      <c r="Q8" s="2223"/>
      <c r="R8" s="294"/>
      <c r="S8" s="1417"/>
      <c r="T8" s="237"/>
      <c r="U8" s="237"/>
      <c r="V8" s="262"/>
      <c r="W8" s="262"/>
      <c r="X8" s="265" t="str">
        <f>Y7&amp;"-"&amp;AA7</f>
        <v>-</v>
      </c>
      <c r="Y8" s="2225"/>
      <c r="Z8" s="2102"/>
      <c r="AA8" s="2225"/>
      <c r="AB8" s="2102"/>
      <c r="AC8" s="262"/>
      <c r="AD8" s="262"/>
      <c r="AE8" s="265" t="str">
        <f>AF7&amp;"-"&amp;AH7</f>
        <v>-</v>
      </c>
      <c r="AF8" s="2225"/>
      <c r="AG8" s="2102"/>
      <c r="AH8" s="2227"/>
      <c r="AI8" s="2102"/>
      <c r="AJ8" s="1366"/>
      <c r="AK8" s="2293"/>
      <c r="AM8" s="437"/>
      <c r="AN8" s="437" t="str">
        <f t="shared" si="0"/>
        <v/>
      </c>
      <c r="AO8" s="437"/>
      <c r="AP8" s="437"/>
      <c r="AQ8" s="1082">
        <v>0</v>
      </c>
    </row>
    <row r="9" spans="1:43" ht="21" hidden="1" customHeight="1">
      <c r="A9" s="1290"/>
      <c r="B9" s="1290"/>
      <c r="C9" s="1290"/>
      <c r="D9" s="1290"/>
      <c r="E9" s="2220"/>
      <c r="F9" s="2220"/>
      <c r="G9" s="2220"/>
      <c r="H9" s="2220"/>
      <c r="I9" s="2222"/>
      <c r="J9" s="2221"/>
      <c r="K9" s="1290"/>
      <c r="L9" s="1291"/>
      <c r="P9" s="2223"/>
      <c r="Q9" s="2223"/>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0"/>
      <c r="F10" s="2220"/>
      <c r="G10" s="2220"/>
      <c r="H10" s="2220"/>
      <c r="I10" s="2221"/>
      <c r="J10" s="1290"/>
      <c r="K10" s="1290"/>
      <c r="L10" s="1291"/>
      <c r="P10" s="2223"/>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0"/>
      <c r="F11" s="2220"/>
      <c r="G11" s="2220"/>
      <c r="H11" s="2219"/>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0"/>
      <c r="F12" s="2219"/>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9"/>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7"/>
      <c r="AG15" s="2216" t="s">
        <v>65</v>
      </c>
      <c r="AH15" s="2217"/>
      <c r="AI15" s="2216" t="s">
        <v>65</v>
      </c>
      <c r="AQ15" s="1082">
        <v>0</v>
      </c>
    </row>
    <row r="16" spans="1:43" ht="14.25" hidden="1" customHeight="1">
      <c r="AC16" s="1287"/>
      <c r="AD16" s="1287"/>
      <c r="AE16" s="265" t="str">
        <f>AF15&amp;"-"&amp;AH15</f>
        <v>-</v>
      </c>
      <c r="AF16" s="2216"/>
      <c r="AG16" s="2216"/>
      <c r="AH16" s="2216"/>
      <c r="AI16" s="2216"/>
      <c r="AQ16" s="1082">
        <v>0</v>
      </c>
    </row>
    <row r="17" spans="1:43" ht="14.25" hidden="1" customHeight="1">
      <c r="AI17" s="264"/>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0"/>
      <c r="U24" s="2200"/>
      <c r="V24" s="2200"/>
      <c r="W24" s="2200"/>
      <c r="X24" s="2200"/>
      <c r="Y24" s="2200"/>
      <c r="Z24" s="2200"/>
      <c r="AA24" s="2200"/>
      <c r="AB24" s="2200"/>
      <c r="AC24" s="2200"/>
      <c r="AD24" s="2200"/>
      <c r="AE24" s="2200"/>
      <c r="AF24" s="2200"/>
      <c r="AG24" s="2200"/>
      <c r="AH24" s="2200"/>
      <c r="AI24" s="1170"/>
      <c r="AQ24" s="1082">
        <v>14</v>
      </c>
    </row>
    <row r="25" spans="1:43" ht="14.65" customHeight="1">
      <c r="Q25" s="313"/>
      <c r="R25" s="313"/>
      <c r="S25" s="2172" t="str">
        <f>IF(org=0,"Не определено",org)</f>
        <v>МУП "Михайловское водопроводно-канализационное хозяйство"</v>
      </c>
      <c r="T25" s="2172"/>
      <c r="U25" s="2172"/>
      <c r="V25" s="2172"/>
      <c r="W25" s="2172"/>
      <c r="X25" s="2172"/>
      <c r="Y25" s="2172"/>
      <c r="Z25" s="2172"/>
      <c r="AA25" s="2172"/>
      <c r="AB25" s="2172"/>
      <c r="AC25" s="2172"/>
      <c r="AD25" s="2172"/>
      <c r="AE25" s="2172"/>
      <c r="AF25" s="2172"/>
      <c r="AG25" s="2172"/>
      <c r="AH25" s="217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10" t="s">
        <v>42</v>
      </c>
      <c r="T27" s="2210"/>
      <c r="U27" s="1299"/>
      <c r="V27" s="2212" t="str">
        <f>IF(TITLE_NAME_OR_PR_CHANGE="",IF(TITLE_NAME_OR_PR="","",TITLE_NAME_OR_PR),TITLE_NAME_OR_PR_CHANGE)</f>
        <v/>
      </c>
      <c r="W27" s="2212"/>
      <c r="X27" s="2212"/>
      <c r="Y27" s="2212"/>
      <c r="Z27" s="2212"/>
      <c r="AA27" s="2212"/>
      <c r="AB27" s="263"/>
      <c r="AC27" s="2212" t="str">
        <f>IF(TITLE_NAME_OR_PR_CHANGE="",IF(TITLE_NAME_OR_PR="","",TITLE_NAME_OR_PR),TITLE_NAME_OR_PR_CHANGE)</f>
        <v/>
      </c>
      <c r="AD27" s="2212"/>
      <c r="AE27" s="2212"/>
      <c r="AF27" s="2212"/>
      <c r="AG27" s="2212"/>
      <c r="AH27" s="221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10" t="s">
        <v>425</v>
      </c>
      <c r="T28" s="2210"/>
      <c r="U28" s="1299"/>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10" t="s">
        <v>426</v>
      </c>
      <c r="T29" s="2210"/>
      <c r="U29" s="1299"/>
      <c r="V29" s="2212" t="str">
        <f>IF(TITLE_NUMBER_PR_CHANGE="",IF(TITLE_NUMBER_PR="","",TITLE_NUMBER_PR),TITLE_NUMBER_PR_CHANGE)</f>
        <v/>
      </c>
      <c r="W29" s="2212"/>
      <c r="X29" s="2212"/>
      <c r="Y29" s="2212"/>
      <c r="Z29" s="2212"/>
      <c r="AA29" s="2212"/>
      <c r="AB29" s="263"/>
      <c r="AC29" s="2212" t="str">
        <f>IF(TITLE_NUMBER_PR_CHANGE="",IF(TITLE_NUMBER_PR="","",TITLE_NUMBER_PR),TITLE_NUMBER_PR_CHANGE)</f>
        <v/>
      </c>
      <c r="AD29" s="2212"/>
      <c r="AE29" s="2212"/>
      <c r="AF29" s="2212"/>
      <c r="AG29" s="2212"/>
      <c r="AH29" s="221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10" t="s">
        <v>43</v>
      </c>
      <c r="T30" s="2210"/>
      <c r="U30" s="1299"/>
      <c r="V30" s="2212" t="str">
        <f>IF(TITLE_IST_PUB_CHANGE="",IF(TITLE_IST_PUB="","",TITLE_IST_PUB),TITLE_IST_PUB_CHANGE)</f>
        <v/>
      </c>
      <c r="W30" s="2212"/>
      <c r="X30" s="2212"/>
      <c r="Y30" s="2212"/>
      <c r="Z30" s="2212"/>
      <c r="AA30" s="2212"/>
      <c r="AB30" s="263"/>
      <c r="AC30" s="2212" t="str">
        <f>IF(TITLE_IST_PUB_CHANGE="",IF(TITLE_IST_PUB="","",TITLE_IST_PUB),TITLE_IST_PUB_CHANGE)</f>
        <v/>
      </c>
      <c r="AD30" s="2212"/>
      <c r="AE30" s="2212"/>
      <c r="AF30" s="2212"/>
      <c r="AG30" s="2212"/>
      <c r="AH30" s="221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10" t="s">
        <v>427</v>
      </c>
      <c r="T32" s="2210"/>
      <c r="U32" s="1299"/>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10" t="s">
        <v>428</v>
      </c>
      <c r="T33" s="2210"/>
      <c r="U33" s="1299"/>
      <c r="V33" s="2212" t="str">
        <f>IF(TITLE_NUMBER_PR_CHANGE="",IF(TITLE_NUMBER_PR="","",TITLE_NUMBER_PR),TITLE_NUMBER_PR_CHANGE)</f>
        <v/>
      </c>
      <c r="W33" s="2212"/>
      <c r="X33" s="2212"/>
      <c r="Y33" s="2212"/>
      <c r="Z33" s="2212"/>
      <c r="AA33" s="2212"/>
      <c r="AB33" s="263"/>
      <c r="AC33" s="2212" t="str">
        <f>IF(TITLE_NUMBER_PR_CHANGE="",IF(TITLE_NUMBER_PR="","",TITLE_NUMBER_PR),TITLE_NUMBER_PR_CHANGE)</f>
        <v/>
      </c>
      <c r="AD33" s="2212"/>
      <c r="AE33" s="2212"/>
      <c r="AF33" s="2212"/>
      <c r="AG33" s="2212"/>
      <c r="AH33" s="221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231"/>
      <c r="W35" s="2231"/>
      <c r="X35" s="2231"/>
      <c r="Y35" s="2231"/>
      <c r="Z35" s="2231"/>
      <c r="AA35" s="2231"/>
      <c r="AB35" s="2231"/>
      <c r="AC35" s="2231"/>
      <c r="AD35" s="2231"/>
      <c r="AE35" s="2231"/>
      <c r="AF35" s="2231"/>
      <c r="AG35" s="2231"/>
      <c r="AH35" s="2231"/>
      <c r="AI35" s="2231"/>
      <c r="AQ35" s="1082">
        <v>14</v>
      </c>
    </row>
    <row r="36" spans="1:43" ht="14.65" customHeight="1">
      <c r="Q36" s="313"/>
      <c r="R36" s="313"/>
      <c r="S36" s="2091" t="s">
        <v>302</v>
      </c>
      <c r="T36" s="2091"/>
      <c r="U36" s="2091"/>
      <c r="V36" s="2091"/>
      <c r="W36" s="2091"/>
      <c r="X36" s="2091"/>
      <c r="Y36" s="2091"/>
      <c r="Z36" s="2091"/>
      <c r="AA36" s="2091"/>
      <c r="AB36" s="2091"/>
      <c r="AC36" s="2091"/>
      <c r="AD36" s="2091"/>
      <c r="AE36" s="2091"/>
      <c r="AF36" s="2091"/>
      <c r="AG36" s="2091"/>
      <c r="AH36" s="2091"/>
      <c r="AI36" s="2091"/>
      <c r="AJ36" s="2091"/>
      <c r="AK36" s="2091" t="s">
        <v>303</v>
      </c>
      <c r="AQ36" s="1082">
        <v>14</v>
      </c>
    </row>
    <row r="37" spans="1:43" ht="14.65" customHeight="1">
      <c r="Q37" s="313"/>
      <c r="R37" s="313"/>
      <c r="S37" s="2232" t="s">
        <v>87</v>
      </c>
      <c r="T37" s="2180" t="s">
        <v>430</v>
      </c>
      <c r="U37" s="238"/>
      <c r="V37" s="2233" t="s">
        <v>431</v>
      </c>
      <c r="W37" s="2234"/>
      <c r="X37" s="2234"/>
      <c r="Y37" s="2234"/>
      <c r="Z37" s="2234"/>
      <c r="AA37" s="2235"/>
      <c r="AB37" s="2236" t="s">
        <v>432</v>
      </c>
      <c r="AC37" s="2233" t="s">
        <v>431</v>
      </c>
      <c r="AD37" s="2234"/>
      <c r="AE37" s="2234"/>
      <c r="AF37" s="2234"/>
      <c r="AG37" s="2234"/>
      <c r="AH37" s="2235"/>
      <c r="AI37" s="2236" t="s">
        <v>433</v>
      </c>
      <c r="AJ37" s="2239" t="s">
        <v>434</v>
      </c>
      <c r="AK37" s="2091"/>
      <c r="AQ37" s="1082">
        <v>14</v>
      </c>
    </row>
    <row r="38" spans="1:43" ht="35.65" customHeight="1">
      <c r="Q38" s="313"/>
      <c r="R38" s="313"/>
      <c r="S38" s="2232"/>
      <c r="T38" s="2180"/>
      <c r="U38" s="961"/>
      <c r="V38" s="1410" t="s">
        <v>491</v>
      </c>
      <c r="W38" s="2073" t="s">
        <v>437</v>
      </c>
      <c r="X38" s="2072"/>
      <c r="Y38" s="2073" t="s">
        <v>438</v>
      </c>
      <c r="Z38" s="2078"/>
      <c r="AA38" s="2072"/>
      <c r="AB38" s="2237"/>
      <c r="AC38" s="1410" t="s">
        <v>491</v>
      </c>
      <c r="AD38" s="2073" t="s">
        <v>437</v>
      </c>
      <c r="AE38" s="2072"/>
      <c r="AF38" s="2073" t="s">
        <v>438</v>
      </c>
      <c r="AG38" s="2078"/>
      <c r="AH38" s="2072"/>
      <c r="AI38" s="2237"/>
      <c r="AJ38" s="2240"/>
      <c r="AK38" s="2091"/>
      <c r="AQ38" s="1082">
        <v>34</v>
      </c>
    </row>
    <row r="39" spans="1:43" ht="90.4"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2"/>
      <c r="T39" s="2180"/>
      <c r="U39" s="239"/>
      <c r="V39" s="1410" t="s">
        <v>520</v>
      </c>
      <c r="W39" s="1149" t="s">
        <v>521</v>
      </c>
      <c r="X39" s="1149" t="s">
        <v>496</v>
      </c>
      <c r="Y39" s="1416" t="s">
        <v>448</v>
      </c>
      <c r="Z39" s="2185" t="s">
        <v>449</v>
      </c>
      <c r="AA39" s="2199"/>
      <c r="AB39" s="2238"/>
      <c r="AC39" s="1410" t="s">
        <v>520</v>
      </c>
      <c r="AD39" s="1149" t="s">
        <v>521</v>
      </c>
      <c r="AE39" s="1149" t="s">
        <v>496</v>
      </c>
      <c r="AF39" s="1416" t="s">
        <v>448</v>
      </c>
      <c r="AG39" s="2185" t="s">
        <v>449</v>
      </c>
      <c r="AH39" s="2199"/>
      <c r="AI39" s="2238"/>
      <c r="AJ39" s="2241"/>
      <c r="AK39" s="209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30">
        <f ca="1">OFFSET(Z40,0,-1)+1</f>
        <v>7</v>
      </c>
      <c r="AA40" s="2230"/>
      <c r="AB40" s="1409">
        <f ca="1">OFFSET(AB40,0,-2)+1</f>
        <v>8</v>
      </c>
      <c r="AC40" s="1409">
        <f ca="1">OFFSET(AC40,0,-1)+1</f>
        <v>9</v>
      </c>
      <c r="AD40" s="1409">
        <f ca="1">OFFSET(AD40,0,-1)+1</f>
        <v>10</v>
      </c>
      <c r="AE40" s="1409">
        <f ca="1">OFFSET(AE40,0,-1)+1</f>
        <v>11</v>
      </c>
      <c r="AF40" s="1409">
        <f ca="1">OFFSET(AF40,0,-1)+1</f>
        <v>12</v>
      </c>
      <c r="AG40" s="2230">
        <f ca="1">OFFSET(AG40,0,-1)+1</f>
        <v>13</v>
      </c>
      <c r="AH40" s="2230"/>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21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220"/>
      <c r="F42" s="2219">
        <v>1</v>
      </c>
      <c r="G42" s="1290"/>
      <c r="H42" s="1290"/>
      <c r="I42" s="1290"/>
      <c r="J42" s="1290"/>
      <c r="K42" s="1290"/>
      <c r="L42" s="1291"/>
      <c r="M42" s="1292"/>
      <c r="N42" s="1292"/>
      <c r="O42" s="1292"/>
      <c r="P42" s="1414"/>
      <c r="Q42" s="289"/>
      <c r="R42" s="290"/>
      <c r="S42" s="1420"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5" t="s">
        <v>400</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220"/>
      <c r="F43" s="2220"/>
      <c r="G43" s="2219">
        <v>1</v>
      </c>
      <c r="H43" s="1290"/>
      <c r="I43" s="1290"/>
      <c r="J43" s="1290"/>
      <c r="K43" s="1290"/>
      <c r="L43" s="1291"/>
      <c r="M43" s="1292"/>
      <c r="N43" s="1292"/>
      <c r="O43" s="1292"/>
      <c r="P43" s="291"/>
      <c r="Q43" s="289"/>
      <c r="R43" s="290"/>
      <c r="S43" s="1420" t="str">
        <f>INDEX(PT_DIFFERENTIATION_NUM_CS,MATCH(C43,PT_DIFFERENTIATION_CS_ID,0))</f>
        <v>..</v>
      </c>
      <c r="T43" s="246" t="s">
        <v>518</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522</v>
      </c>
      <c r="E44" s="2220"/>
      <c r="F44" s="2220"/>
      <c r="G44" s="2220"/>
      <c r="H44" s="2220"/>
      <c r="I44" s="2221" t="str">
        <f>S43&amp;".1"</f>
        <v>...1</v>
      </c>
      <c r="J44" s="1290"/>
      <c r="K44" s="1290"/>
      <c r="L44" s="1291"/>
      <c r="P44" s="2223">
        <v>1</v>
      </c>
      <c r="Q44" s="1408"/>
      <c r="R44" s="293"/>
      <c r="S44" s="1420" t="str">
        <f>$I44</f>
        <v>...1</v>
      </c>
      <c r="T44" s="222" t="s">
        <v>485</v>
      </c>
      <c r="U44" s="237"/>
      <c r="V44" s="2287"/>
      <c r="W44" s="2288"/>
      <c r="X44" s="2288"/>
      <c r="Y44" s="2288"/>
      <c r="Z44" s="2288"/>
      <c r="AA44" s="2288"/>
      <c r="AB44" s="2289"/>
      <c r="AC44" s="2290"/>
      <c r="AD44" s="2291"/>
      <c r="AE44" s="2291"/>
      <c r="AF44" s="2291"/>
      <c r="AG44" s="2291"/>
      <c r="AH44" s="2291"/>
      <c r="AI44" s="2291"/>
      <c r="AJ44" s="2292"/>
      <c r="AK44" s="1185" t="s">
        <v>486</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522</v>
      </c>
      <c r="E45" s="2220"/>
      <c r="F45" s="2220"/>
      <c r="G45" s="2220"/>
      <c r="H45" s="2220"/>
      <c r="I45" s="2222"/>
      <c r="J45" s="2221" t="str">
        <f>I44&amp;".1"</f>
        <v>...1.1</v>
      </c>
      <c r="K45" s="1290"/>
      <c r="L45" s="1291" t="s">
        <v>408</v>
      </c>
      <c r="P45" s="2223"/>
      <c r="Q45" s="2223">
        <v>1</v>
      </c>
      <c r="R45" s="294"/>
      <c r="S45" s="1420" t="str">
        <f>$J45</f>
        <v>...1.1</v>
      </c>
      <c r="T45" s="223" t="s">
        <v>409</v>
      </c>
      <c r="U45" s="237"/>
      <c r="V45" s="2207"/>
      <c r="W45" s="2208"/>
      <c r="X45" s="2208"/>
      <c r="Y45" s="2208"/>
      <c r="Z45" s="2208"/>
      <c r="AA45" s="2208"/>
      <c r="AB45" s="2209"/>
      <c r="AC45" s="2207"/>
      <c r="AD45" s="2208"/>
      <c r="AE45" s="2208"/>
      <c r="AF45" s="2208"/>
      <c r="AG45" s="2208"/>
      <c r="AH45" s="2208"/>
      <c r="AI45" s="2208"/>
      <c r="AJ45" s="2209"/>
      <c r="AK45" s="1234" t="s">
        <v>487</v>
      </c>
      <c r="AM45" s="437"/>
      <c r="AN45" s="437" t="str">
        <f t="shared" si="1"/>
        <v>Группа потребителей</v>
      </c>
      <c r="AO45" s="437"/>
      <c r="AP45" s="437"/>
      <c r="AQ45" s="1082">
        <v>23</v>
      </c>
    </row>
    <row r="46" spans="1:43" ht="24" customHeight="1">
      <c r="A46" s="1290" t="s">
        <v>268</v>
      </c>
      <c r="B46" s="1290" t="s">
        <v>269</v>
      </c>
      <c r="C46" s="1290" t="s">
        <v>270</v>
      </c>
      <c r="D46" s="1290" t="s">
        <v>522</v>
      </c>
      <c r="E46" s="2220"/>
      <c r="F46" s="2220"/>
      <c r="G46" s="2220"/>
      <c r="H46" s="2220"/>
      <c r="I46" s="2222"/>
      <c r="J46" s="2222"/>
      <c r="K46" s="2221" t="str">
        <f>J45&amp;".1"</f>
        <v>...1.1.1</v>
      </c>
      <c r="L46" s="1291"/>
      <c r="P46" s="2223"/>
      <c r="Q46" s="2223"/>
      <c r="R46" s="294">
        <v>1</v>
      </c>
      <c r="S46" s="1420" t="str">
        <f>$K46</f>
        <v>...1.1.1</v>
      </c>
      <c r="T46" s="1364"/>
      <c r="U46" s="237"/>
      <c r="V46" s="1287"/>
      <c r="W46" s="1287"/>
      <c r="X46" s="1288"/>
      <c r="Y46" s="2217"/>
      <c r="Z46" s="2216" t="s">
        <v>65</v>
      </c>
      <c r="AA46" s="2217"/>
      <c r="AB46" s="2216" t="s">
        <v>65</v>
      </c>
      <c r="AC46" s="688"/>
      <c r="AD46" s="688"/>
      <c r="AE46" s="1184"/>
      <c r="AF46" s="2224"/>
      <c r="AG46" s="2102" t="s">
        <v>65</v>
      </c>
      <c r="AH46" s="2226"/>
      <c r="AI46" s="2102" t="s">
        <v>19</v>
      </c>
      <c r="AJ46" s="1365"/>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522</v>
      </c>
      <c r="E47" s="2220"/>
      <c r="F47" s="2220"/>
      <c r="G47" s="2220"/>
      <c r="H47" s="2220"/>
      <c r="I47" s="2222"/>
      <c r="J47" s="2222"/>
      <c r="K47" s="2221"/>
      <c r="L47" s="1291"/>
      <c r="P47" s="2223"/>
      <c r="Q47" s="2223"/>
      <c r="R47" s="294"/>
      <c r="S47" s="1417"/>
      <c r="T47" s="237"/>
      <c r="U47" s="237"/>
      <c r="V47" s="1287"/>
      <c r="W47" s="1287"/>
      <c r="X47" s="265" t="str">
        <f>Y46&amp;"-"&amp;AA46</f>
        <v>-</v>
      </c>
      <c r="Y47" s="2216"/>
      <c r="Z47" s="2216"/>
      <c r="AA47" s="2216"/>
      <c r="AB47" s="2216"/>
      <c r="AC47" s="262"/>
      <c r="AD47" s="262"/>
      <c r="AE47" s="265" t="str">
        <f>AF46&amp;"-"&amp;AH46</f>
        <v>-</v>
      </c>
      <c r="AF47" s="2225"/>
      <c r="AG47" s="2102"/>
      <c r="AH47" s="2227"/>
      <c r="AI47" s="2102"/>
      <c r="AJ47" s="1366"/>
      <c r="AK47" s="2293"/>
      <c r="AM47" s="437"/>
      <c r="AN47" s="437" t="str">
        <f t="shared" si="1"/>
        <v/>
      </c>
      <c r="AO47" s="437"/>
      <c r="AP47" s="437"/>
      <c r="AQ47" s="1082">
        <v>0</v>
      </c>
    </row>
    <row r="48" spans="1:43" ht="21" customHeight="1">
      <c r="A48" s="1290" t="s">
        <v>268</v>
      </c>
      <c r="B48" s="1290" t="s">
        <v>269</v>
      </c>
      <c r="C48" s="1290" t="s">
        <v>270</v>
      </c>
      <c r="D48" s="1290" t="s">
        <v>522</v>
      </c>
      <c r="E48" s="2220"/>
      <c r="F48" s="2220"/>
      <c r="G48" s="2220"/>
      <c r="H48" s="2220"/>
      <c r="I48" s="2222"/>
      <c r="J48" s="2221"/>
      <c r="K48" s="1290"/>
      <c r="L48" s="1291"/>
      <c r="P48" s="2223"/>
      <c r="Q48" s="2223"/>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268</v>
      </c>
      <c r="B49" s="1290" t="s">
        <v>269</v>
      </c>
      <c r="C49" s="1290" t="s">
        <v>270</v>
      </c>
      <c r="D49" s="1290" t="s">
        <v>522</v>
      </c>
      <c r="E49" s="2220"/>
      <c r="F49" s="2220"/>
      <c r="G49" s="2220"/>
      <c r="H49" s="2220"/>
      <c r="I49" s="2221"/>
      <c r="J49" s="1290"/>
      <c r="K49" s="1290"/>
      <c r="L49" s="1291"/>
      <c r="P49" s="2223"/>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268</v>
      </c>
      <c r="B50" s="1290" t="s">
        <v>269</v>
      </c>
      <c r="C50" s="1290" t="s">
        <v>270</v>
      </c>
      <c r="D50" s="1290" t="s">
        <v>522</v>
      </c>
      <c r="E50" s="2220"/>
      <c r="F50" s="2220"/>
      <c r="G50" s="2220"/>
      <c r="H50" s="2219"/>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220"/>
      <c r="F51" s="2219"/>
      <c r="G51" s="1241"/>
      <c r="H51" s="1241"/>
      <c r="I51" s="1241"/>
      <c r="J51" s="1241"/>
      <c r="K51" s="1241"/>
      <c r="L51" s="1421"/>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219"/>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8"/>
      <c r="U55" s="2218"/>
      <c r="V55" s="2218"/>
      <c r="W55" s="2218"/>
      <c r="X55" s="2218"/>
      <c r="Y55" s="2218"/>
      <c r="Z55" s="2218"/>
      <c r="AA55" s="2218"/>
      <c r="AB55" s="2218"/>
      <c r="AC55" s="2218"/>
      <c r="AD55" s="2218"/>
      <c r="AE55" s="2218"/>
      <c r="AF55" s="2218"/>
      <c r="AG55" s="2218"/>
      <c r="AH55" s="2218"/>
      <c r="AI55" s="2218"/>
      <c r="AJ55" s="2218"/>
      <c r="AK55" s="2218"/>
      <c r="AQ55" s="1082">
        <v>14</v>
      </c>
    </row>
    <row r="56" spans="1:43" ht="14.65" customHeight="1">
      <c r="O56" s="474"/>
      <c r="AQ56" s="1082">
        <v>14</v>
      </c>
    </row>
    <row r="57" spans="1:43" ht="14.65" customHeight="1">
      <c r="O57" s="474"/>
      <c r="S57" s="1180"/>
      <c r="T57" s="2218"/>
      <c r="U57" s="2218"/>
      <c r="V57" s="2218"/>
      <c r="W57" s="2218"/>
      <c r="X57" s="2218"/>
      <c r="Y57" s="2218"/>
      <c r="Z57" s="2218"/>
      <c r="AA57" s="2218"/>
      <c r="AB57" s="2218"/>
      <c r="AC57" s="2218"/>
      <c r="AD57" s="2218"/>
      <c r="AE57" s="2218"/>
      <c r="AF57" s="2218"/>
      <c r="AG57" s="2218"/>
      <c r="AH57" s="2218"/>
      <c r="AI57" s="2218"/>
      <c r="AJ57" s="2218"/>
      <c r="AK57" s="221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19">
        <v>1</v>
      </c>
      <c r="F2" s="1290"/>
      <c r="G2" s="1290"/>
      <c r="H2" s="1290"/>
      <c r="I2" s="1290"/>
      <c r="J2" s="1290"/>
      <c r="K2" s="1290"/>
      <c r="L2" s="1291"/>
      <c r="M2" s="1292"/>
      <c r="N2" s="1292"/>
      <c r="O2" s="1292"/>
      <c r="P2" s="298"/>
      <c r="Q2" s="297"/>
      <c r="R2" s="292"/>
      <c r="S2" s="1420"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20"/>
      <c r="F3" s="2219">
        <v>1</v>
      </c>
      <c r="G3" s="1290"/>
      <c r="H3" s="1290"/>
      <c r="I3" s="1290"/>
      <c r="J3" s="1290"/>
      <c r="K3" s="1290"/>
      <c r="L3" s="1291"/>
      <c r="M3" s="1292"/>
      <c r="N3" s="1292"/>
      <c r="O3" s="1292"/>
      <c r="P3" s="1414"/>
      <c r="Q3" s="289"/>
      <c r="R3" s="290"/>
      <c r="S3" s="1420"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5" t="s">
        <v>400</v>
      </c>
      <c r="AM3" s="437"/>
      <c r="AN3" s="437" t="str">
        <f t="shared" si="0"/>
        <v>Территория действия тарифа</v>
      </c>
      <c r="AO3" s="437"/>
      <c r="AP3" s="437"/>
      <c r="AQ3" s="1082">
        <v>0</v>
      </c>
    </row>
    <row r="4" spans="1:43" ht="23.25" hidden="1" customHeight="1">
      <c r="A4" s="1290"/>
      <c r="B4" s="1290"/>
      <c r="C4" s="1290"/>
      <c r="D4" s="1290"/>
      <c r="E4" s="2220"/>
      <c r="F4" s="2220"/>
      <c r="G4" s="2219">
        <v>1</v>
      </c>
      <c r="H4" s="1290"/>
      <c r="I4" s="1290"/>
      <c r="J4" s="1290"/>
      <c r="K4" s="1290"/>
      <c r="L4" s="1291"/>
      <c r="M4" s="1292"/>
      <c r="N4" s="1292"/>
      <c r="O4" s="1292"/>
      <c r="P4" s="291"/>
      <c r="Q4" s="289"/>
      <c r="R4" s="290"/>
      <c r="S4" s="1420" t="e">
        <f>INDEX(PT_DIFFERENTIATION_NUM_CS,MATCH(C4,PT_DIFFERENTIATION_CS_ID,0))</f>
        <v>#N/A</v>
      </c>
      <c r="T4" s="246" t="s">
        <v>518</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5" t="s">
        <v>519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20"/>
      <c r="F5" s="2220"/>
      <c r="G5" s="2220"/>
      <c r="H5" s="2220"/>
      <c r="I5" s="2221" t="e">
        <f>S4&amp;".1"</f>
        <v>#N/A</v>
      </c>
      <c r="J5" s="1290"/>
      <c r="K5" s="1290"/>
      <c r="L5" s="1291"/>
      <c r="P5" s="2223">
        <v>1</v>
      </c>
      <c r="Q5" s="1408"/>
      <c r="R5" s="293"/>
      <c r="S5" s="1420" t="e">
        <f>$I5</f>
        <v>#N/A</v>
      </c>
      <c r="T5" s="222" t="s">
        <v>485</v>
      </c>
      <c r="U5" s="237"/>
      <c r="V5" s="2287"/>
      <c r="W5" s="2288"/>
      <c r="X5" s="2288"/>
      <c r="Y5" s="2288"/>
      <c r="Z5" s="2288"/>
      <c r="AA5" s="2288"/>
      <c r="AB5" s="2289"/>
      <c r="AC5" s="2290"/>
      <c r="AD5" s="2291"/>
      <c r="AE5" s="2291"/>
      <c r="AF5" s="2291"/>
      <c r="AG5" s="2291"/>
      <c r="AH5" s="2291"/>
      <c r="AI5" s="2291"/>
      <c r="AJ5" s="2292"/>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20"/>
      <c r="F6" s="2220"/>
      <c r="G6" s="2220"/>
      <c r="H6" s="2220"/>
      <c r="I6" s="2222"/>
      <c r="J6" s="2221" t="e">
        <f>I5&amp;".1"</f>
        <v>#N/A</v>
      </c>
      <c r="K6" s="1290"/>
      <c r="L6" s="1291" t="s">
        <v>408</v>
      </c>
      <c r="P6" s="2223"/>
      <c r="Q6" s="2223">
        <v>1</v>
      </c>
      <c r="R6" s="294"/>
      <c r="S6" s="1420" t="e">
        <f>$J6</f>
        <v>#N/A</v>
      </c>
      <c r="T6" s="223" t="s">
        <v>409</v>
      </c>
      <c r="U6" s="237"/>
      <c r="V6" s="2207"/>
      <c r="W6" s="2208"/>
      <c r="X6" s="2208"/>
      <c r="Y6" s="2208"/>
      <c r="Z6" s="2208"/>
      <c r="AA6" s="2208"/>
      <c r="AB6" s="2209"/>
      <c r="AC6" s="2207"/>
      <c r="AD6" s="2208"/>
      <c r="AE6" s="2208"/>
      <c r="AF6" s="2208"/>
      <c r="AG6" s="2208"/>
      <c r="AH6" s="2208"/>
      <c r="AI6" s="2208"/>
      <c r="AJ6" s="2209"/>
      <c r="AK6" s="1234" t="s">
        <v>487</v>
      </c>
      <c r="AM6" s="437"/>
      <c r="AN6" s="437" t="str">
        <f t="shared" si="0"/>
        <v>Группа потребителей</v>
      </c>
      <c r="AO6" s="437"/>
      <c r="AP6" s="437"/>
      <c r="AQ6" s="1082">
        <v>0</v>
      </c>
    </row>
    <row r="7" spans="1:43" ht="23.25" hidden="1" customHeight="1">
      <c r="A7" s="1290"/>
      <c r="B7" s="1290"/>
      <c r="C7" s="1290"/>
      <c r="D7" s="1290"/>
      <c r="E7" s="2220"/>
      <c r="F7" s="2220"/>
      <c r="G7" s="2220"/>
      <c r="H7" s="2220"/>
      <c r="I7" s="2222"/>
      <c r="J7" s="2222"/>
      <c r="K7" s="2221" t="e">
        <f>J6&amp;".1"</f>
        <v>#N/A</v>
      </c>
      <c r="L7" s="1291"/>
      <c r="P7" s="2223"/>
      <c r="Q7" s="2223"/>
      <c r="R7" s="294">
        <v>1</v>
      </c>
      <c r="S7" s="1420" t="e">
        <f>$K7</f>
        <v>#N/A</v>
      </c>
      <c r="T7" s="1364"/>
      <c r="U7" s="237"/>
      <c r="V7" s="688"/>
      <c r="W7" s="688"/>
      <c r="X7" s="1184"/>
      <c r="Y7" s="2224"/>
      <c r="Z7" s="2102" t="s">
        <v>65</v>
      </c>
      <c r="AA7" s="2224"/>
      <c r="AB7" s="2102" t="s">
        <v>65</v>
      </c>
      <c r="AC7" s="688"/>
      <c r="AD7" s="688"/>
      <c r="AE7" s="1184"/>
      <c r="AF7" s="2224"/>
      <c r="AG7" s="2102" t="s">
        <v>65</v>
      </c>
      <c r="AH7" s="2226"/>
      <c r="AI7" s="2102" t="s">
        <v>65</v>
      </c>
      <c r="AJ7" s="1365"/>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20"/>
      <c r="F8" s="2220"/>
      <c r="G8" s="2220"/>
      <c r="H8" s="2220"/>
      <c r="I8" s="2222"/>
      <c r="J8" s="2222"/>
      <c r="K8" s="2221"/>
      <c r="L8" s="1291"/>
      <c r="P8" s="2223"/>
      <c r="Q8" s="2223"/>
      <c r="R8" s="294"/>
      <c r="S8" s="1417"/>
      <c r="T8" s="237"/>
      <c r="U8" s="237"/>
      <c r="V8" s="262"/>
      <c r="W8" s="262"/>
      <c r="X8" s="265" t="str">
        <f>Y7&amp;"-"&amp;AA7</f>
        <v>-</v>
      </c>
      <c r="Y8" s="2225"/>
      <c r="Z8" s="2102"/>
      <c r="AA8" s="2225"/>
      <c r="AB8" s="2102"/>
      <c r="AC8" s="262"/>
      <c r="AD8" s="262"/>
      <c r="AE8" s="265" t="str">
        <f>AF7&amp;"-"&amp;AH7</f>
        <v>-</v>
      </c>
      <c r="AF8" s="2225"/>
      <c r="AG8" s="2102"/>
      <c r="AH8" s="2227"/>
      <c r="AI8" s="2102"/>
      <c r="AJ8" s="1366"/>
      <c r="AK8" s="2293"/>
      <c r="AM8" s="437"/>
      <c r="AN8" s="437" t="str">
        <f t="shared" si="0"/>
        <v/>
      </c>
      <c r="AO8" s="437"/>
      <c r="AP8" s="437"/>
      <c r="AQ8" s="1082">
        <v>0</v>
      </c>
    </row>
    <row r="9" spans="1:43" ht="21" hidden="1" customHeight="1">
      <c r="A9" s="1290"/>
      <c r="B9" s="1290"/>
      <c r="C9" s="1290"/>
      <c r="D9" s="1290"/>
      <c r="E9" s="2220"/>
      <c r="F9" s="2220"/>
      <c r="G9" s="2220"/>
      <c r="H9" s="2220"/>
      <c r="I9" s="2222"/>
      <c r="J9" s="2221"/>
      <c r="K9" s="1290"/>
      <c r="L9" s="1291"/>
      <c r="P9" s="2223"/>
      <c r="Q9" s="2223"/>
      <c r="R9" s="293"/>
      <c r="S9" s="1205"/>
      <c r="T9" s="224"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20"/>
      <c r="F10" s="2220"/>
      <c r="G10" s="2220"/>
      <c r="H10" s="2220"/>
      <c r="I10" s="2221"/>
      <c r="J10" s="1290"/>
      <c r="K10" s="1290"/>
      <c r="L10" s="1291"/>
      <c r="P10" s="2223"/>
      <c r="Q10" s="1408"/>
      <c r="R10" s="293"/>
      <c r="S10" s="1205"/>
      <c r="T10" s="302" t="s">
        <v>414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20"/>
      <c r="F11" s="2220"/>
      <c r="G11" s="2220"/>
      <c r="H11" s="2219"/>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20"/>
      <c r="F12" s="2219"/>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19"/>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17"/>
      <c r="AG15" s="2216" t="s">
        <v>65</v>
      </c>
      <c r="AH15" s="2217"/>
      <c r="AI15" s="2216" t="s">
        <v>65</v>
      </c>
      <c r="AQ15" s="1082">
        <v>0</v>
      </c>
    </row>
    <row r="16" spans="1:43" ht="14.25" hidden="1" customHeight="1">
      <c r="AC16" s="1287"/>
      <c r="AD16" s="1287"/>
      <c r="AE16" s="265" t="str">
        <f>AF15&amp;"-"&amp;AH15</f>
        <v>-</v>
      </c>
      <c r="AF16" s="2216"/>
      <c r="AG16" s="2216"/>
      <c r="AH16" s="2216"/>
      <c r="AI16" s="2216"/>
      <c r="AQ16" s="1082">
        <v>0</v>
      </c>
    </row>
    <row r="17" spans="1:43" ht="14.25" hidden="1" customHeight="1">
      <c r="AI17" s="264"/>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3" t="s">
        <v>422</v>
      </c>
      <c r="AB20" s="123" t="s">
        <v>423</v>
      </c>
      <c r="AC20" s="1087" t="s">
        <v>421</v>
      </c>
      <c r="AG20" s="123" t="s">
        <v>424</v>
      </c>
      <c r="AI20" s="123"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0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00"/>
      <c r="U24" s="2200"/>
      <c r="V24" s="2200"/>
      <c r="W24" s="2200"/>
      <c r="X24" s="2200"/>
      <c r="Y24" s="2200"/>
      <c r="Z24" s="2200"/>
      <c r="AA24" s="2200"/>
      <c r="AB24" s="2200"/>
      <c r="AC24" s="2200"/>
      <c r="AD24" s="2200"/>
      <c r="AE24" s="2200"/>
      <c r="AF24" s="2200"/>
      <c r="AG24" s="2200"/>
      <c r="AH24" s="2200"/>
      <c r="AI24" s="1170"/>
      <c r="AQ24" s="1082">
        <v>14</v>
      </c>
    </row>
    <row r="25" spans="1:43" ht="14.65" customHeight="1">
      <c r="Q25" s="313"/>
      <c r="R25" s="313"/>
      <c r="S25" s="2172" t="str">
        <f>IF(org=0,"Не определено",org)</f>
        <v>МУП "Михайловское водопроводно-канализационное хозяйство"</v>
      </c>
      <c r="T25" s="2172"/>
      <c r="U25" s="2172"/>
      <c r="V25" s="2172"/>
      <c r="W25" s="2172"/>
      <c r="X25" s="2172"/>
      <c r="Y25" s="2172"/>
      <c r="Z25" s="2172"/>
      <c r="AA25" s="2172"/>
      <c r="AB25" s="2172"/>
      <c r="AC25" s="2172"/>
      <c r="AD25" s="2172"/>
      <c r="AE25" s="2172"/>
      <c r="AF25" s="2172"/>
      <c r="AG25" s="2172"/>
      <c r="AH25" s="2172"/>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10" t="s">
        <v>42</v>
      </c>
      <c r="T27" s="2210"/>
      <c r="U27" s="1299"/>
      <c r="V27" s="2212" t="str">
        <f>IF(TITLE_NAME_OR_PR_CHANGE="",IF(TITLE_NAME_OR_PR="","",TITLE_NAME_OR_PR),TITLE_NAME_OR_PR_CHANGE)</f>
        <v/>
      </c>
      <c r="W27" s="2212"/>
      <c r="X27" s="2212"/>
      <c r="Y27" s="2212"/>
      <c r="Z27" s="2212"/>
      <c r="AA27" s="2212"/>
      <c r="AB27" s="263"/>
      <c r="AC27" s="2212" t="str">
        <f>IF(TITLE_NAME_OR_PR_CHANGE="",IF(TITLE_NAME_OR_PR="","",TITLE_NAME_OR_PR),TITLE_NAME_OR_PR_CHANGE)</f>
        <v/>
      </c>
      <c r="AD27" s="2212"/>
      <c r="AE27" s="2212"/>
      <c r="AF27" s="2212"/>
      <c r="AG27" s="2212"/>
      <c r="AH27" s="221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10" t="s">
        <v>425</v>
      </c>
      <c r="T28" s="2210"/>
      <c r="U28" s="1299"/>
      <c r="V28" s="2211" t="str">
        <f>IF(TITLE_DATE_PR_CHANGE="",IF(TITLE_DATE_PR="","",TITLE_DATE_PR),TITLE_DATE_PR_CHANGE)</f>
        <v/>
      </c>
      <c r="W28" s="2211"/>
      <c r="X28" s="2211"/>
      <c r="Y28" s="2211"/>
      <c r="Z28" s="2211"/>
      <c r="AA28" s="2211"/>
      <c r="AB28" s="263"/>
      <c r="AC28" s="2211" t="str">
        <f>IF(TITLE_DATE_PR_CHANGE="",IF(TITLE_DATE_PR="","",TITLE_DATE_PR),TITLE_DATE_PR_CHANGE)</f>
        <v/>
      </c>
      <c r="AD28" s="2211"/>
      <c r="AE28" s="2211"/>
      <c r="AF28" s="2211"/>
      <c r="AG28" s="2211"/>
      <c r="AH28" s="221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10" t="s">
        <v>426</v>
      </c>
      <c r="T29" s="2210"/>
      <c r="U29" s="1299"/>
      <c r="V29" s="2212" t="str">
        <f>IF(TITLE_NUMBER_PR_CHANGE="",IF(TITLE_NUMBER_PR="","",TITLE_NUMBER_PR),TITLE_NUMBER_PR_CHANGE)</f>
        <v/>
      </c>
      <c r="W29" s="2212"/>
      <c r="X29" s="2212"/>
      <c r="Y29" s="2212"/>
      <c r="Z29" s="2212"/>
      <c r="AA29" s="2212"/>
      <c r="AB29" s="263"/>
      <c r="AC29" s="2212" t="str">
        <f>IF(TITLE_NUMBER_PR_CHANGE="",IF(TITLE_NUMBER_PR="","",TITLE_NUMBER_PR),TITLE_NUMBER_PR_CHANGE)</f>
        <v/>
      </c>
      <c r="AD29" s="2212"/>
      <c r="AE29" s="2212"/>
      <c r="AF29" s="2212"/>
      <c r="AG29" s="2212"/>
      <c r="AH29" s="221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10" t="s">
        <v>43</v>
      </c>
      <c r="T30" s="2210"/>
      <c r="U30" s="1299"/>
      <c r="V30" s="2212" t="str">
        <f>IF(TITLE_IST_PUB_CHANGE="",IF(TITLE_IST_PUB="","",TITLE_IST_PUB),TITLE_IST_PUB_CHANGE)</f>
        <v/>
      </c>
      <c r="W30" s="2212"/>
      <c r="X30" s="2212"/>
      <c r="Y30" s="2212"/>
      <c r="Z30" s="2212"/>
      <c r="AA30" s="2212"/>
      <c r="AB30" s="263"/>
      <c r="AC30" s="2212" t="str">
        <f>IF(TITLE_IST_PUB_CHANGE="",IF(TITLE_IST_PUB="","",TITLE_IST_PUB),TITLE_IST_PUB_CHANGE)</f>
        <v/>
      </c>
      <c r="AD30" s="2212"/>
      <c r="AE30" s="2212"/>
      <c r="AF30" s="2212"/>
      <c r="AG30" s="2212"/>
      <c r="AH30" s="221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10" t="s">
        <v>427</v>
      </c>
      <c r="T32" s="2210"/>
      <c r="U32" s="1299"/>
      <c r="V32" s="2211" t="str">
        <f>IF(TITLE_DATE_PR_CHANGE="",IF(TITLE_DATE_PR="","",TITLE_DATE_PR),TITLE_DATE_PR_CHANGE)</f>
        <v/>
      </c>
      <c r="W32" s="2211"/>
      <c r="X32" s="2211"/>
      <c r="Y32" s="2211"/>
      <c r="Z32" s="2211"/>
      <c r="AA32" s="2211"/>
      <c r="AB32" s="263"/>
      <c r="AC32" s="2211" t="str">
        <f>IF(TITLE_DATE_PR_CHANGE="",IF(TITLE_DATE_PR="","",TITLE_DATE_PR),TITLE_DATE_PR_CHANGE)</f>
        <v/>
      </c>
      <c r="AD32" s="2211"/>
      <c r="AE32" s="2211"/>
      <c r="AF32" s="2211"/>
      <c r="AG32" s="2211"/>
      <c r="AH32" s="221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10" t="s">
        <v>428</v>
      </c>
      <c r="T33" s="2210"/>
      <c r="U33" s="1299"/>
      <c r="V33" s="2212" t="str">
        <f>IF(TITLE_NUMBER_PR_CHANGE="",IF(TITLE_NUMBER_PR="","",TITLE_NUMBER_PR),TITLE_NUMBER_PR_CHANGE)</f>
        <v/>
      </c>
      <c r="W33" s="2212"/>
      <c r="X33" s="2212"/>
      <c r="Y33" s="2212"/>
      <c r="Z33" s="2212"/>
      <c r="AA33" s="2212"/>
      <c r="AB33" s="263"/>
      <c r="AC33" s="2212" t="str">
        <f>IF(TITLE_NUMBER_PR_CHANGE="",IF(TITLE_NUMBER_PR="","",TITLE_NUMBER_PR),TITLE_NUMBER_PR_CHANGE)</f>
        <v/>
      </c>
      <c r="AD33" s="2212"/>
      <c r="AE33" s="2212"/>
      <c r="AF33" s="2212"/>
      <c r="AG33" s="2212"/>
      <c r="AH33" s="221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429</v>
      </c>
      <c r="AC34" s="263"/>
      <c r="AD34" s="263"/>
      <c r="AE34" s="263"/>
      <c r="AF34" s="263"/>
      <c r="AG34" s="263"/>
      <c r="AH34" s="263"/>
      <c r="AI34" s="215" t="s">
        <v>429</v>
      </c>
      <c r="AL34" s="305"/>
      <c r="AM34" s="305"/>
      <c r="AN34" s="305"/>
      <c r="AO34" s="305"/>
      <c r="AP34" s="305"/>
      <c r="AQ34" s="355">
        <v>1</v>
      </c>
    </row>
    <row r="35" spans="1:43" ht="14.65" customHeight="1">
      <c r="Q35" s="313"/>
      <c r="R35" s="313"/>
      <c r="S35" s="1202"/>
      <c r="T35" s="300"/>
      <c r="U35" s="1171"/>
      <c r="V35" s="2231"/>
      <c r="W35" s="2231"/>
      <c r="X35" s="2231"/>
      <c r="Y35" s="2231"/>
      <c r="Z35" s="2231"/>
      <c r="AA35" s="2231"/>
      <c r="AB35" s="2231"/>
      <c r="AC35" s="2231"/>
      <c r="AD35" s="2231"/>
      <c r="AE35" s="2231"/>
      <c r="AF35" s="2231"/>
      <c r="AG35" s="2231"/>
      <c r="AH35" s="2231"/>
      <c r="AI35" s="2231"/>
      <c r="AQ35" s="1082">
        <v>14</v>
      </c>
    </row>
    <row r="36" spans="1:43" ht="14.65" customHeight="1">
      <c r="Q36" s="313"/>
      <c r="R36" s="313"/>
      <c r="S36" s="2091" t="s">
        <v>302</v>
      </c>
      <c r="T36" s="2091"/>
      <c r="U36" s="2091"/>
      <c r="V36" s="2091"/>
      <c r="W36" s="2091"/>
      <c r="X36" s="2091"/>
      <c r="Y36" s="2091"/>
      <c r="Z36" s="2091"/>
      <c r="AA36" s="2091"/>
      <c r="AB36" s="2091"/>
      <c r="AC36" s="2091"/>
      <c r="AD36" s="2091"/>
      <c r="AE36" s="2091"/>
      <c r="AF36" s="2091"/>
      <c r="AG36" s="2091"/>
      <c r="AH36" s="2091"/>
      <c r="AI36" s="2091"/>
      <c r="AJ36" s="2091"/>
      <c r="AK36" s="2091" t="s">
        <v>303</v>
      </c>
      <c r="AQ36" s="1082">
        <v>14</v>
      </c>
    </row>
    <row r="37" spans="1:43" ht="14.65" customHeight="1">
      <c r="Q37" s="313"/>
      <c r="R37" s="313"/>
      <c r="S37" s="2232" t="s">
        <v>87</v>
      </c>
      <c r="T37" s="2180" t="s">
        <v>430</v>
      </c>
      <c r="U37" s="238"/>
      <c r="V37" s="2233" t="s">
        <v>431</v>
      </c>
      <c r="W37" s="2234"/>
      <c r="X37" s="2234"/>
      <c r="Y37" s="2234"/>
      <c r="Z37" s="2234"/>
      <c r="AA37" s="2235"/>
      <c r="AB37" s="2236" t="s">
        <v>432</v>
      </c>
      <c r="AC37" s="2233" t="s">
        <v>431</v>
      </c>
      <c r="AD37" s="2234"/>
      <c r="AE37" s="2234"/>
      <c r="AF37" s="2234"/>
      <c r="AG37" s="2234"/>
      <c r="AH37" s="2235"/>
      <c r="AI37" s="2236" t="s">
        <v>433</v>
      </c>
      <c r="AJ37" s="2239" t="s">
        <v>434</v>
      </c>
      <c r="AK37" s="2091"/>
      <c r="AQ37" s="1082">
        <v>14</v>
      </c>
    </row>
    <row r="38" spans="1:43" ht="35.65" customHeight="1">
      <c r="Q38" s="313"/>
      <c r="R38" s="313"/>
      <c r="S38" s="2232"/>
      <c r="T38" s="2180"/>
      <c r="U38" s="961"/>
      <c r="V38" s="1410" t="s">
        <v>491</v>
      </c>
      <c r="W38" s="2073" t="s">
        <v>437</v>
      </c>
      <c r="X38" s="2072"/>
      <c r="Y38" s="2073" t="s">
        <v>438</v>
      </c>
      <c r="Z38" s="2078"/>
      <c r="AA38" s="2072"/>
      <c r="AB38" s="2237"/>
      <c r="AC38" s="1410" t="s">
        <v>491</v>
      </c>
      <c r="AD38" s="2073" t="s">
        <v>437</v>
      </c>
      <c r="AE38" s="2072"/>
      <c r="AF38" s="2073" t="s">
        <v>438</v>
      </c>
      <c r="AG38" s="2078"/>
      <c r="AH38" s="2072"/>
      <c r="AI38" s="2237"/>
      <c r="AJ38" s="2240"/>
      <c r="AK38" s="2091"/>
      <c r="AQ38" s="1082">
        <v>34</v>
      </c>
    </row>
    <row r="39" spans="1:43" ht="90.4" customHeight="1">
      <c r="A39" s="1297"/>
      <c r="B39" s="1297" t="s">
        <v>139</v>
      </c>
      <c r="C39" s="1297" t="s">
        <v>140</v>
      </c>
      <c r="D39" s="1297" t="s">
        <v>141</v>
      </c>
      <c r="E39" s="1291" t="s">
        <v>439</v>
      </c>
      <c r="F39" s="1291" t="s">
        <v>440</v>
      </c>
      <c r="G39" s="1291" t="s">
        <v>441</v>
      </c>
      <c r="H39" s="1291"/>
      <c r="I39" s="1291" t="s">
        <v>492</v>
      </c>
      <c r="J39" s="1291" t="s">
        <v>444</v>
      </c>
      <c r="K39" s="1291" t="s">
        <v>493</v>
      </c>
      <c r="L39" s="1291" t="s">
        <v>420</v>
      </c>
      <c r="Q39" s="313"/>
      <c r="R39" s="313"/>
      <c r="S39" s="2232"/>
      <c r="T39" s="2180"/>
      <c r="U39" s="239"/>
      <c r="V39" s="1410" t="s">
        <v>520</v>
      </c>
      <c r="W39" s="1149" t="s">
        <v>521</v>
      </c>
      <c r="X39" s="1149" t="s">
        <v>496</v>
      </c>
      <c r="Y39" s="1416" t="s">
        <v>448</v>
      </c>
      <c r="Z39" s="2185" t="s">
        <v>449</v>
      </c>
      <c r="AA39" s="2199"/>
      <c r="AB39" s="2238"/>
      <c r="AC39" s="1410" t="s">
        <v>520</v>
      </c>
      <c r="AD39" s="1149" t="s">
        <v>521</v>
      </c>
      <c r="AE39" s="1149" t="s">
        <v>496</v>
      </c>
      <c r="AF39" s="1416" t="s">
        <v>448</v>
      </c>
      <c r="AG39" s="2185" t="s">
        <v>449</v>
      </c>
      <c r="AH39" s="2199"/>
      <c r="AI39" s="2238"/>
      <c r="AJ39" s="2241"/>
      <c r="AK39" s="209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30">
        <f ca="1">OFFSET(Z40,0,-1)+1</f>
        <v>7</v>
      </c>
      <c r="AA40" s="2230"/>
      <c r="AB40" s="1409">
        <f ca="1">OFFSET(AB40,0,-2)+1</f>
        <v>8</v>
      </c>
      <c r="AC40" s="1409">
        <f ca="1">OFFSET(AC40,0,-1)+1</f>
        <v>9</v>
      </c>
      <c r="AD40" s="1409">
        <f ca="1">OFFSET(AD40,0,-1)+1</f>
        <v>10</v>
      </c>
      <c r="AE40" s="1409">
        <f ca="1">OFFSET(AE40,0,-1)+1</f>
        <v>11</v>
      </c>
      <c r="AF40" s="1409">
        <f ca="1">OFFSET(AF40,0,-1)+1</f>
        <v>12</v>
      </c>
      <c r="AG40" s="2230">
        <f ca="1">OFFSET(AG40,0,-1)+1</f>
        <v>13</v>
      </c>
      <c r="AH40" s="2230"/>
      <c r="AI40" s="1409">
        <f ca="1">OFFSET(AI40,0,-2)+1</f>
        <v>14</v>
      </c>
      <c r="AJ40" s="1172">
        <f ca="1">OFFSET(AJ40,0,-1)</f>
        <v>14</v>
      </c>
      <c r="AK40" s="1409">
        <f ca="1">OFFSET(AK40,0,-1)+1</f>
        <v>15</v>
      </c>
      <c r="AL40" s="448"/>
      <c r="AM40" s="448"/>
      <c r="AN40" s="448"/>
      <c r="AO40" s="448"/>
      <c r="AP40" s="448"/>
      <c r="AQ40" s="433">
        <v>0</v>
      </c>
    </row>
    <row r="41" spans="1:43" ht="24" customHeight="1">
      <c r="A41" s="1290" t="s">
        <v>273</v>
      </c>
      <c r="B41" s="1290"/>
      <c r="C41" s="1290"/>
      <c r="D41" s="1290"/>
      <c r="E41" s="221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273</v>
      </c>
      <c r="B42" s="1290" t="s">
        <v>274</v>
      </c>
      <c r="C42" s="1290"/>
      <c r="D42" s="1290"/>
      <c r="E42" s="2220"/>
      <c r="F42" s="2219">
        <v>1</v>
      </c>
      <c r="G42" s="1290"/>
      <c r="H42" s="1290"/>
      <c r="I42" s="1290"/>
      <c r="J42" s="1290"/>
      <c r="K42" s="1290"/>
      <c r="L42" s="1291"/>
      <c r="M42" s="1292"/>
      <c r="N42" s="1292"/>
      <c r="O42" s="1292"/>
      <c r="P42" s="1414"/>
      <c r="Q42" s="289"/>
      <c r="R42" s="290"/>
      <c r="S42" s="1420"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5" t="s">
        <v>400</v>
      </c>
      <c r="AM42" s="437"/>
      <c r="AN42" s="437" t="str">
        <f t="shared" si="1"/>
        <v>Территория действия тарифа</v>
      </c>
      <c r="AO42" s="437"/>
      <c r="AP42" s="437"/>
      <c r="AQ42" s="1082">
        <v>23</v>
      </c>
    </row>
    <row r="43" spans="1:43" ht="24" customHeight="1">
      <c r="A43" s="1290" t="s">
        <v>273</v>
      </c>
      <c r="B43" s="1290" t="s">
        <v>274</v>
      </c>
      <c r="C43" s="1290" t="s">
        <v>275</v>
      </c>
      <c r="D43" s="1290"/>
      <c r="E43" s="2220"/>
      <c r="F43" s="2220"/>
      <c r="G43" s="2219">
        <v>1</v>
      </c>
      <c r="H43" s="1290"/>
      <c r="I43" s="1290"/>
      <c r="J43" s="1290"/>
      <c r="K43" s="1290"/>
      <c r="L43" s="1291"/>
      <c r="M43" s="1292"/>
      <c r="N43" s="1292"/>
      <c r="O43" s="1292"/>
      <c r="P43" s="291"/>
      <c r="Q43" s="289"/>
      <c r="R43" s="290"/>
      <c r="S43" s="1420" t="str">
        <f>INDEX(PT_DIFFERENTIATION_NUM_CS,MATCH(C43,PT_DIFFERENTIATION_CS_ID,0))</f>
        <v>..</v>
      </c>
      <c r="T43" s="246" t="s">
        <v>518</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5" t="s">
        <v>519</v>
      </c>
      <c r="AM43" s="437"/>
      <c r="AN43" s="437" t="str">
        <f t="shared" si="1"/>
        <v>Наименование централизованной системы водоотведения</v>
      </c>
      <c r="AO43" s="437"/>
      <c r="AP43" s="437"/>
      <c r="AQ43" s="1082">
        <v>23</v>
      </c>
    </row>
    <row r="44" spans="1:43" ht="24" customHeight="1">
      <c r="A44" s="1290" t="s">
        <v>273</v>
      </c>
      <c r="B44" s="1290" t="s">
        <v>274</v>
      </c>
      <c r="C44" s="1290" t="s">
        <v>275</v>
      </c>
      <c r="D44" s="1290" t="s">
        <v>523</v>
      </c>
      <c r="E44" s="2220"/>
      <c r="F44" s="2220"/>
      <c r="G44" s="2220"/>
      <c r="H44" s="2220"/>
      <c r="I44" s="2221" t="str">
        <f>S43&amp;".1"</f>
        <v>...1</v>
      </c>
      <c r="J44" s="1290"/>
      <c r="K44" s="1290"/>
      <c r="L44" s="1291"/>
      <c r="P44" s="2223">
        <v>1</v>
      </c>
      <c r="Q44" s="1408"/>
      <c r="R44" s="293"/>
      <c r="S44" s="1420" t="str">
        <f>$I44</f>
        <v>...1</v>
      </c>
      <c r="T44" s="222" t="s">
        <v>485</v>
      </c>
      <c r="U44" s="237"/>
      <c r="V44" s="2287"/>
      <c r="W44" s="2288"/>
      <c r="X44" s="2288"/>
      <c r="Y44" s="2288"/>
      <c r="Z44" s="2288"/>
      <c r="AA44" s="2288"/>
      <c r="AB44" s="2289"/>
      <c r="AC44" s="2290"/>
      <c r="AD44" s="2291"/>
      <c r="AE44" s="2291"/>
      <c r="AF44" s="2291"/>
      <c r="AG44" s="2291"/>
      <c r="AH44" s="2291"/>
      <c r="AI44" s="2291"/>
      <c r="AJ44" s="2292"/>
      <c r="AK44" s="1185" t="s">
        <v>486</v>
      </c>
      <c r="AM44" s="437"/>
      <c r="AN44" s="437" t="str">
        <f t="shared" si="1"/>
        <v>Наименование признака дифференциации</v>
      </c>
      <c r="AO44" s="437"/>
      <c r="AP44" s="437"/>
      <c r="AQ44" s="1082">
        <v>23</v>
      </c>
    </row>
    <row r="45" spans="1:43" ht="24" customHeight="1">
      <c r="A45" s="1290" t="s">
        <v>273</v>
      </c>
      <c r="B45" s="1290" t="s">
        <v>274</v>
      </c>
      <c r="C45" s="1290" t="s">
        <v>275</v>
      </c>
      <c r="D45" s="1290" t="s">
        <v>523</v>
      </c>
      <c r="E45" s="2220"/>
      <c r="F45" s="2220"/>
      <c r="G45" s="2220"/>
      <c r="H45" s="2220"/>
      <c r="I45" s="2222"/>
      <c r="J45" s="2221" t="str">
        <f>I44&amp;".1"</f>
        <v>...1.1</v>
      </c>
      <c r="K45" s="1290"/>
      <c r="L45" s="1291" t="s">
        <v>408</v>
      </c>
      <c r="P45" s="2223"/>
      <c r="Q45" s="2223">
        <v>1</v>
      </c>
      <c r="R45" s="294"/>
      <c r="S45" s="1420" t="str">
        <f>$J45</f>
        <v>...1.1</v>
      </c>
      <c r="T45" s="223" t="s">
        <v>409</v>
      </c>
      <c r="U45" s="237"/>
      <c r="V45" s="2207"/>
      <c r="W45" s="2208"/>
      <c r="X45" s="2208"/>
      <c r="Y45" s="2208"/>
      <c r="Z45" s="2208"/>
      <c r="AA45" s="2208"/>
      <c r="AB45" s="2209"/>
      <c r="AC45" s="2207"/>
      <c r="AD45" s="2208"/>
      <c r="AE45" s="2208"/>
      <c r="AF45" s="2208"/>
      <c r="AG45" s="2208"/>
      <c r="AH45" s="2208"/>
      <c r="AI45" s="2208"/>
      <c r="AJ45" s="2209"/>
      <c r="AK45" s="1234" t="s">
        <v>487</v>
      </c>
      <c r="AM45" s="437"/>
      <c r="AN45" s="437" t="str">
        <f t="shared" si="1"/>
        <v>Группа потребителей</v>
      </c>
      <c r="AO45" s="437"/>
      <c r="AP45" s="437"/>
      <c r="AQ45" s="1082">
        <v>23</v>
      </c>
    </row>
    <row r="46" spans="1:43" ht="24" customHeight="1">
      <c r="A46" s="1290" t="s">
        <v>273</v>
      </c>
      <c r="B46" s="1290" t="s">
        <v>274</v>
      </c>
      <c r="C46" s="1290" t="s">
        <v>275</v>
      </c>
      <c r="D46" s="1290" t="s">
        <v>523</v>
      </c>
      <c r="E46" s="2220"/>
      <c r="F46" s="2220"/>
      <c r="G46" s="2220"/>
      <c r="H46" s="2220"/>
      <c r="I46" s="2222"/>
      <c r="J46" s="2222"/>
      <c r="K46" s="2221" t="str">
        <f>J45&amp;".1"</f>
        <v>...1.1.1</v>
      </c>
      <c r="L46" s="1291"/>
      <c r="P46" s="2223"/>
      <c r="Q46" s="2223"/>
      <c r="R46" s="294">
        <v>1</v>
      </c>
      <c r="S46" s="1420" t="str">
        <f>$K46</f>
        <v>...1.1.1</v>
      </c>
      <c r="T46" s="1364"/>
      <c r="U46" s="237"/>
      <c r="V46" s="1287"/>
      <c r="W46" s="1287"/>
      <c r="X46" s="1288"/>
      <c r="Y46" s="2217"/>
      <c r="Z46" s="2216" t="s">
        <v>65</v>
      </c>
      <c r="AA46" s="2217"/>
      <c r="AB46" s="2216" t="s">
        <v>65</v>
      </c>
      <c r="AC46" s="688"/>
      <c r="AD46" s="688"/>
      <c r="AE46" s="1184"/>
      <c r="AF46" s="2224"/>
      <c r="AG46" s="2102" t="s">
        <v>65</v>
      </c>
      <c r="AH46" s="2226"/>
      <c r="AI46" s="2102" t="s">
        <v>19</v>
      </c>
      <c r="AJ46" s="1365"/>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273</v>
      </c>
      <c r="B47" s="1290" t="s">
        <v>274</v>
      </c>
      <c r="C47" s="1290" t="s">
        <v>275</v>
      </c>
      <c r="D47" s="1290" t="s">
        <v>523</v>
      </c>
      <c r="E47" s="2220"/>
      <c r="F47" s="2220"/>
      <c r="G47" s="2220"/>
      <c r="H47" s="2220"/>
      <c r="I47" s="2222"/>
      <c r="J47" s="2222"/>
      <c r="K47" s="2221"/>
      <c r="L47" s="1291"/>
      <c r="P47" s="2223"/>
      <c r="Q47" s="2223"/>
      <c r="R47" s="294"/>
      <c r="S47" s="1417"/>
      <c r="T47" s="237"/>
      <c r="U47" s="237"/>
      <c r="V47" s="1287"/>
      <c r="W47" s="1287"/>
      <c r="X47" s="265" t="str">
        <f>Y46&amp;"-"&amp;AA46</f>
        <v>-</v>
      </c>
      <c r="Y47" s="2216"/>
      <c r="Z47" s="2216"/>
      <c r="AA47" s="2216"/>
      <c r="AB47" s="2216"/>
      <c r="AC47" s="262"/>
      <c r="AD47" s="262"/>
      <c r="AE47" s="265" t="str">
        <f>AF46&amp;"-"&amp;AH46</f>
        <v>-</v>
      </c>
      <c r="AF47" s="2225"/>
      <c r="AG47" s="2102"/>
      <c r="AH47" s="2227"/>
      <c r="AI47" s="2102"/>
      <c r="AJ47" s="1366"/>
      <c r="AK47" s="2293"/>
      <c r="AM47" s="437"/>
      <c r="AN47" s="437" t="str">
        <f t="shared" si="1"/>
        <v/>
      </c>
      <c r="AO47" s="437"/>
      <c r="AP47" s="437"/>
      <c r="AQ47" s="1082">
        <v>0</v>
      </c>
    </row>
    <row r="48" spans="1:43" ht="21" customHeight="1">
      <c r="A48" s="1290" t="s">
        <v>273</v>
      </c>
      <c r="B48" s="1290" t="s">
        <v>274</v>
      </c>
      <c r="C48" s="1290" t="s">
        <v>275</v>
      </c>
      <c r="D48" s="1290" t="s">
        <v>523</v>
      </c>
      <c r="E48" s="2220"/>
      <c r="F48" s="2220"/>
      <c r="G48" s="2220"/>
      <c r="H48" s="2220"/>
      <c r="I48" s="2222"/>
      <c r="J48" s="2221"/>
      <c r="K48" s="1290"/>
      <c r="L48" s="1291"/>
      <c r="P48" s="2223"/>
      <c r="Q48" s="2223"/>
      <c r="R48" s="293"/>
      <c r="S48" s="1205"/>
      <c r="T48" s="224"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273</v>
      </c>
      <c r="B49" s="1290" t="s">
        <v>274</v>
      </c>
      <c r="C49" s="1290" t="s">
        <v>275</v>
      </c>
      <c r="D49" s="1290" t="s">
        <v>523</v>
      </c>
      <c r="E49" s="2220"/>
      <c r="F49" s="2220"/>
      <c r="G49" s="2220"/>
      <c r="H49" s="2220"/>
      <c r="I49" s="2221"/>
      <c r="J49" s="1290"/>
      <c r="K49" s="1290"/>
      <c r="L49" s="1291"/>
      <c r="P49" s="2223"/>
      <c r="Q49" s="1408"/>
      <c r="R49" s="293"/>
      <c r="S49" s="1205"/>
      <c r="T49" s="302" t="s">
        <v>414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273</v>
      </c>
      <c r="B50" s="1290" t="s">
        <v>274</v>
      </c>
      <c r="C50" s="1290" t="s">
        <v>275</v>
      </c>
      <c r="D50" s="1290" t="s">
        <v>523</v>
      </c>
      <c r="E50" s="2220"/>
      <c r="F50" s="2220"/>
      <c r="G50" s="2220"/>
      <c r="H50" s="2219"/>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273</v>
      </c>
      <c r="B51" s="1270" t="s">
        <v>274</v>
      </c>
      <c r="C51" s="1241"/>
      <c r="D51" s="1241"/>
      <c r="E51" s="2220"/>
      <c r="F51" s="2219"/>
      <c r="G51" s="1241"/>
      <c r="H51" s="1241"/>
      <c r="I51" s="1241"/>
      <c r="J51" s="1241"/>
      <c r="K51" s="1241"/>
      <c r="L51" s="1421"/>
      <c r="M51" s="1248"/>
      <c r="N51" s="1248"/>
      <c r="P51" s="1243"/>
      <c r="Q51" s="1244"/>
      <c r="R51" s="1243"/>
      <c r="S51" s="1249"/>
      <c r="T51" s="1252" t="s">
        <v>417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273</v>
      </c>
      <c r="B52" s="1270"/>
      <c r="C52" s="1270"/>
      <c r="D52" s="1270"/>
      <c r="E52" s="2219"/>
      <c r="F52" s="1270"/>
      <c r="G52" s="1270"/>
      <c r="H52" s="1270"/>
      <c r="I52" s="1270"/>
      <c r="J52" s="1270"/>
      <c r="K52" s="1270"/>
      <c r="L52" s="1273"/>
      <c r="M52" s="1248"/>
      <c r="N52" s="1248"/>
      <c r="O52" s="455"/>
      <c r="P52" s="317"/>
      <c r="Q52" s="1271"/>
      <c r="R52" s="317"/>
      <c r="S52" s="1249"/>
      <c r="T52" s="1252" t="s">
        <v>418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18"/>
      <c r="U55" s="2218"/>
      <c r="V55" s="2218"/>
      <c r="W55" s="2218"/>
      <c r="X55" s="2218"/>
      <c r="Y55" s="2218"/>
      <c r="Z55" s="2218"/>
      <c r="AA55" s="2218"/>
      <c r="AB55" s="2218"/>
      <c r="AC55" s="2218"/>
      <c r="AD55" s="2218"/>
      <c r="AE55" s="2218"/>
      <c r="AF55" s="2218"/>
      <c r="AG55" s="2218"/>
      <c r="AH55" s="2218"/>
      <c r="AI55" s="2218"/>
      <c r="AJ55" s="2218"/>
      <c r="AK55" s="2218"/>
      <c r="AQ55" s="1082">
        <v>14</v>
      </c>
    </row>
    <row r="56" spans="1:43" ht="14.65" customHeight="1">
      <c r="O56" s="474"/>
      <c r="AQ56" s="1082">
        <v>14</v>
      </c>
    </row>
    <row r="57" spans="1:43" ht="14.65" customHeight="1">
      <c r="O57" s="474"/>
      <c r="S57" s="1180"/>
      <c r="T57" s="2218"/>
      <c r="U57" s="2218"/>
      <c r="V57" s="2218"/>
      <c r="W57" s="2218"/>
      <c r="X57" s="2218"/>
      <c r="Y57" s="2218"/>
      <c r="Z57" s="2218"/>
      <c r="AA57" s="2218"/>
      <c r="AB57" s="2218"/>
      <c r="AC57" s="2218"/>
      <c r="AD57" s="2218"/>
      <c r="AE57" s="2218"/>
      <c r="AF57" s="2218"/>
      <c r="AG57" s="2218"/>
      <c r="AH57" s="2218"/>
      <c r="AI57" s="2218"/>
      <c r="AJ57" s="2218"/>
      <c r="AK57" s="221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19">
        <v>1</v>
      </c>
      <c r="F2" s="1290"/>
      <c r="G2" s="1290"/>
      <c r="H2" s="1290"/>
      <c r="I2" s="1290"/>
      <c r="J2" s="1290"/>
      <c r="K2" s="1290"/>
      <c r="L2" s="1291"/>
      <c r="M2" s="1292"/>
      <c r="N2" s="1292"/>
      <c r="O2" s="1292"/>
      <c r="P2" s="1336"/>
      <c r="Q2" s="804"/>
      <c r="R2" s="292"/>
      <c r="S2" s="1420" t="e">
        <f>INDEX(PT_DIFFERENTIATION_NUM_NTAR,MATCH(A2,PT_DIFFERENTIATION_NTAR_ID,0))</f>
        <v>#N/A</v>
      </c>
      <c r="T2" s="235" t="s">
        <v>127</v>
      </c>
      <c r="U2" s="237"/>
      <c r="V2" s="2214"/>
      <c r="W2" s="2214"/>
      <c r="X2" s="2214"/>
      <c r="Y2" s="2214"/>
      <c r="Z2" s="2214"/>
      <c r="AA2" s="2214"/>
      <c r="AB2" s="2214"/>
      <c r="AC2" s="2215"/>
      <c r="AD2" s="2213" t="e">
        <f>INDEX(PT_DIFFERENTIATION_NTAR,MATCH(A2,PT_DIFFERENTIATION_NTAR_ID,0))</f>
        <v>#N/A</v>
      </c>
      <c r="AE2" s="2214"/>
      <c r="AF2" s="2214"/>
      <c r="AG2" s="2214"/>
      <c r="AH2" s="2214"/>
      <c r="AI2" s="2214"/>
      <c r="AJ2" s="2214"/>
      <c r="AK2" s="2214"/>
      <c r="AL2" s="2214"/>
      <c r="AM2" s="2214"/>
      <c r="AN2" s="2214"/>
      <c r="AO2" s="2214"/>
      <c r="AP2" s="2214"/>
      <c r="AQ2" s="2214"/>
      <c r="AR2" s="2214"/>
      <c r="AS2" s="2214"/>
      <c r="AT2" s="2214"/>
      <c r="AU2" s="2214"/>
      <c r="AV2" s="2214"/>
      <c r="AW2" s="2214"/>
      <c r="AX2" s="2214"/>
      <c r="AY2" s="2214"/>
      <c r="AZ2" s="2214"/>
      <c r="BA2" s="2214"/>
      <c r="BB2" s="221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0"/>
      <c r="F3" s="2219">
        <v>1</v>
      </c>
      <c r="G3" s="1290"/>
      <c r="H3" s="1290"/>
      <c r="I3" s="1290"/>
      <c r="J3" s="1290"/>
      <c r="K3" s="1290"/>
      <c r="L3" s="1291"/>
      <c r="M3" s="1292"/>
      <c r="N3" s="1292"/>
      <c r="O3" s="1292"/>
      <c r="P3" s="1337"/>
      <c r="Q3" s="1338"/>
      <c r="R3" s="290"/>
      <c r="S3" s="1420" t="e">
        <f>INDEX(PT_DIFFERENTIATION_NUM_TER,MATCH(B3,PT_DIFFERENTIATION_TER_ID,0))</f>
        <v>#N/A</v>
      </c>
      <c r="T3" s="245" t="s">
        <v>399</v>
      </c>
      <c r="U3" s="237"/>
      <c r="V3" s="2214"/>
      <c r="W3" s="2214"/>
      <c r="X3" s="2214"/>
      <c r="Y3" s="2214"/>
      <c r="Z3" s="2214"/>
      <c r="AA3" s="2214"/>
      <c r="AB3" s="2214"/>
      <c r="AC3" s="2215"/>
      <c r="AD3" s="2213" t="e">
        <f>INDEX(PT_DIFFERENTIATION_TER,MATCH(B3,PT_DIFFERENTIATION_TER_ID,0))</f>
        <v>#N/A</v>
      </c>
      <c r="AE3" s="2214"/>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4"/>
      <c r="BB3" s="2215"/>
      <c r="BC3" s="1185" t="s">
        <v>400</v>
      </c>
      <c r="BE3" s="437"/>
      <c r="BF3" s="437" t="str">
        <f t="shared" si="0"/>
        <v>Территория действия тарифа</v>
      </c>
      <c r="BG3" s="437"/>
      <c r="BH3" s="437"/>
      <c r="BI3" s="1082">
        <v>0</v>
      </c>
    </row>
    <row r="4" spans="1:61" ht="33.75" hidden="1" customHeight="1">
      <c r="A4" s="1290"/>
      <c r="B4" s="1290"/>
      <c r="C4" s="1290"/>
      <c r="D4" s="1290"/>
      <c r="E4" s="2220"/>
      <c r="F4" s="2220"/>
      <c r="G4" s="2219">
        <v>1</v>
      </c>
      <c r="H4" s="1290"/>
      <c r="I4" s="1290"/>
      <c r="J4" s="1290"/>
      <c r="K4" s="1290"/>
      <c r="L4" s="1291"/>
      <c r="M4" s="1292"/>
      <c r="N4" s="1292"/>
      <c r="O4" s="1292"/>
      <c r="P4" s="1339"/>
      <c r="Q4" s="1338"/>
      <c r="R4" s="290"/>
      <c r="S4" s="1420" t="e">
        <f>INDEX(PT_DIFFERENTIATION_NUM_CS,MATCH(C4,PT_DIFFERENTIATION_CS_ID,0))</f>
        <v>#N/A</v>
      </c>
      <c r="T4" s="246" t="s">
        <v>518</v>
      </c>
      <c r="U4" s="237"/>
      <c r="V4" s="2214"/>
      <c r="W4" s="2214"/>
      <c r="X4" s="2214"/>
      <c r="Y4" s="2214"/>
      <c r="Z4" s="2214"/>
      <c r="AA4" s="2214"/>
      <c r="AB4" s="2214"/>
      <c r="AC4" s="2215"/>
      <c r="AD4" s="2213" t="e">
        <f>INDEX(PT_DIFFERENTIATION_CS,MATCH(C4,PT_DIFFERENTIATION_CS_ID,0))</f>
        <v>#N/A</v>
      </c>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4"/>
      <c r="BB4" s="2215"/>
      <c r="BC4" s="1185" t="s">
        <v>519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20"/>
      <c r="F5" s="2220"/>
      <c r="G5" s="2220"/>
      <c r="H5" s="2219">
        <v>1</v>
      </c>
      <c r="I5" s="1270"/>
      <c r="J5" s="1270"/>
      <c r="K5" s="1270"/>
      <c r="L5" s="1273"/>
      <c r="M5" s="1242"/>
      <c r="N5" s="1242"/>
      <c r="O5" s="1242"/>
      <c r="P5" s="1424"/>
      <c r="Q5" s="1425"/>
      <c r="R5" s="294"/>
      <c r="S5" s="972"/>
      <c r="T5" s="1426"/>
      <c r="U5" s="1311"/>
      <c r="V5" s="2251"/>
      <c r="W5" s="2251"/>
      <c r="X5" s="2251"/>
      <c r="Y5" s="2251"/>
      <c r="Z5" s="2251"/>
      <c r="AA5" s="2251"/>
      <c r="AB5" s="2251"/>
      <c r="AC5" s="2252"/>
      <c r="AD5" s="2250"/>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2"/>
      <c r="BC5" s="1312" t="s">
        <v>404</v>
      </c>
      <c r="BE5" s="437"/>
      <c r="BF5" s="437" t="str">
        <f t="shared" si="0"/>
        <v/>
      </c>
      <c r="BG5" s="437"/>
      <c r="BH5" s="437"/>
      <c r="BI5" s="448">
        <v>0</v>
      </c>
    </row>
    <row r="6" spans="1:61" s="1569" customFormat="1" ht="14.25" hidden="1" customHeight="1">
      <c r="A6" s="1270"/>
      <c r="B6" s="1270"/>
      <c r="C6" s="1270"/>
      <c r="D6" s="1270"/>
      <c r="E6" s="2220"/>
      <c r="F6" s="2220"/>
      <c r="G6" s="2220"/>
      <c r="H6" s="2220"/>
      <c r="I6" s="2221" t="str">
        <f>S5&amp;".1"</f>
        <v>.1</v>
      </c>
      <c r="J6" s="1270"/>
      <c r="K6" s="1270"/>
      <c r="L6" s="1273" t="s">
        <v>405</v>
      </c>
      <c r="M6" s="447"/>
      <c r="N6" s="447"/>
      <c r="O6" s="447"/>
      <c r="P6" s="2223">
        <v>1</v>
      </c>
      <c r="Q6" s="1408"/>
      <c r="R6" s="293"/>
      <c r="S6" s="972"/>
      <c r="T6" s="1310"/>
      <c r="U6" s="1311"/>
      <c r="V6" s="2251"/>
      <c r="W6" s="2251"/>
      <c r="X6" s="2251"/>
      <c r="Y6" s="2251"/>
      <c r="Z6" s="2251"/>
      <c r="AA6" s="2251"/>
      <c r="AB6" s="2251"/>
      <c r="AC6" s="2252"/>
      <c r="AD6" s="2250"/>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2"/>
      <c r="BC6" s="1312"/>
      <c r="BE6" s="437"/>
      <c r="BF6" s="437" t="str">
        <f t="shared" si="0"/>
        <v/>
      </c>
      <c r="BG6" s="437"/>
      <c r="BH6" s="437"/>
      <c r="BI6" s="448">
        <v>0</v>
      </c>
    </row>
    <row r="7" spans="1:61" s="1569" customFormat="1" ht="14.25" hidden="1" customHeight="1">
      <c r="A7" s="1270"/>
      <c r="B7" s="1270"/>
      <c r="C7" s="1270"/>
      <c r="D7" s="1270"/>
      <c r="E7" s="2220"/>
      <c r="F7" s="2220"/>
      <c r="G7" s="2220"/>
      <c r="H7" s="2220"/>
      <c r="I7" s="2222"/>
      <c r="J7" s="2221" t="str">
        <f>S5&amp;".1"</f>
        <v>.1</v>
      </c>
      <c r="K7" s="1270"/>
      <c r="L7" s="1273"/>
      <c r="M7" s="447"/>
      <c r="N7" s="447"/>
      <c r="O7" s="447"/>
      <c r="P7" s="2223"/>
      <c r="Q7" s="2223">
        <v>1</v>
      </c>
      <c r="R7" s="294"/>
      <c r="S7" s="972"/>
      <c r="T7" s="1326"/>
      <c r="U7" s="1311"/>
      <c r="V7" s="2251"/>
      <c r="W7" s="2251"/>
      <c r="X7" s="2251"/>
      <c r="Y7" s="2251"/>
      <c r="Z7" s="2251"/>
      <c r="AA7" s="2251"/>
      <c r="AB7" s="2251"/>
      <c r="AC7" s="2252"/>
      <c r="AD7" s="2250"/>
      <c r="AE7" s="2251"/>
      <c r="AF7" s="2251"/>
      <c r="AG7" s="2251"/>
      <c r="AH7" s="2251"/>
      <c r="AI7" s="2251"/>
      <c r="AJ7" s="2251"/>
      <c r="AK7" s="2251"/>
      <c r="AL7" s="2251"/>
      <c r="AM7" s="2251"/>
      <c r="AN7" s="2251"/>
      <c r="AO7" s="2251"/>
      <c r="AP7" s="2251"/>
      <c r="AQ7" s="2251"/>
      <c r="AR7" s="2251"/>
      <c r="AS7" s="2251"/>
      <c r="AT7" s="2251"/>
      <c r="AU7" s="2251"/>
      <c r="AV7" s="2251"/>
      <c r="AW7" s="2251"/>
      <c r="AX7" s="2251"/>
      <c r="AY7" s="2251"/>
      <c r="AZ7" s="2251"/>
      <c r="BA7" s="2251"/>
      <c r="BB7" s="2252"/>
      <c r="BC7" s="1312"/>
      <c r="BE7" s="437"/>
      <c r="BF7" s="437" t="str">
        <f t="shared" si="0"/>
        <v/>
      </c>
      <c r="BG7" s="437"/>
      <c r="BH7" s="437"/>
      <c r="BI7" s="448">
        <v>0</v>
      </c>
    </row>
    <row r="8" spans="1:61" ht="11.25" hidden="1" customHeight="1">
      <c r="A8" s="1290"/>
      <c r="B8" s="1290"/>
      <c r="C8" s="1290"/>
      <c r="D8" s="1290"/>
      <c r="E8" s="2220"/>
      <c r="F8" s="2220"/>
      <c r="G8" s="2220"/>
      <c r="H8" s="2220"/>
      <c r="I8" s="2222"/>
      <c r="J8" s="2222"/>
      <c r="K8" s="2221" t="e">
        <f>S4&amp;".1"</f>
        <v>#N/A</v>
      </c>
      <c r="L8" s="1291"/>
      <c r="P8" s="2223"/>
      <c r="Q8" s="2223"/>
      <c r="R8" s="2279">
        <v>1</v>
      </c>
      <c r="S8" s="2276" t="e">
        <f>$K8</f>
        <v>#N/A</v>
      </c>
      <c r="T8" s="2296"/>
      <c r="U8" s="237"/>
      <c r="V8" s="688"/>
      <c r="W8" s="1184"/>
      <c r="X8" s="688"/>
      <c r="Y8" s="1184"/>
      <c r="Z8" s="1661"/>
      <c r="AA8" s="1396" t="s">
        <v>65</v>
      </c>
      <c r="AB8" s="1661"/>
      <c r="AC8" s="1396" t="s">
        <v>65</v>
      </c>
      <c r="AD8" s="2163" t="s">
        <v>65</v>
      </c>
      <c r="AE8" s="2272"/>
      <c r="AF8" s="2176">
        <v>1</v>
      </c>
      <c r="AG8" s="2295"/>
      <c r="AH8" s="2102" t="s">
        <v>65</v>
      </c>
      <c r="AI8" s="2272"/>
      <c r="AJ8" s="2176">
        <v>1</v>
      </c>
      <c r="AK8" s="2286" t="s">
        <v>22</v>
      </c>
      <c r="AL8" s="2102" t="s">
        <v>65</v>
      </c>
      <c r="AM8" s="2151"/>
      <c r="AN8" s="2176">
        <v>1</v>
      </c>
      <c r="AO8" s="2299"/>
      <c r="AP8" s="2300" t="s">
        <v>65</v>
      </c>
      <c r="AQ8" s="248"/>
      <c r="AR8" s="1413">
        <v>1</v>
      </c>
      <c r="AS8" s="1419" t="s">
        <v>22</v>
      </c>
      <c r="AT8" s="688"/>
      <c r="AU8" s="1184"/>
      <c r="AV8" s="688"/>
      <c r="AW8" s="1184"/>
      <c r="AX8" s="1661"/>
      <c r="AY8" s="1396" t="s">
        <v>65</v>
      </c>
      <c r="AZ8" s="1661"/>
      <c r="BA8" s="1396" t="s">
        <v>65</v>
      </c>
      <c r="BB8" s="1275"/>
      <c r="BC8" s="2242" t="s">
        <v>503</v>
      </c>
      <c r="BE8" s="437"/>
      <c r="BF8" s="437" t="str">
        <f t="shared" si="0"/>
        <v/>
      </c>
      <c r="BG8" s="437"/>
      <c r="BH8" s="437"/>
      <c r="BI8" s="1082">
        <v>0</v>
      </c>
    </row>
    <row r="9" spans="1:61" ht="11.25" hidden="1" customHeight="1">
      <c r="A9" s="1290"/>
      <c r="B9" s="1290"/>
      <c r="C9" s="1290"/>
      <c r="D9" s="1290"/>
      <c r="E9" s="2220"/>
      <c r="F9" s="2220"/>
      <c r="G9" s="2220"/>
      <c r="H9" s="2220"/>
      <c r="I9" s="2222"/>
      <c r="J9" s="2222"/>
      <c r="K9" s="2221"/>
      <c r="L9" s="1291"/>
      <c r="P9" s="2223"/>
      <c r="Q9" s="2223"/>
      <c r="R9" s="2279"/>
      <c r="S9" s="2277"/>
      <c r="T9" s="2297"/>
      <c r="U9" s="237"/>
      <c r="V9" s="1320"/>
      <c r="W9" s="1423"/>
      <c r="X9" s="1320"/>
      <c r="Y9" s="1423"/>
      <c r="Z9" s="1320"/>
      <c r="AA9" s="1320"/>
      <c r="AB9" s="1320"/>
      <c r="AC9" s="1320"/>
      <c r="AD9" s="2164"/>
      <c r="AE9" s="2272"/>
      <c r="AF9" s="2176"/>
      <c r="AG9" s="2295"/>
      <c r="AH9" s="2102"/>
      <c r="AI9" s="2272"/>
      <c r="AJ9" s="2176"/>
      <c r="AK9" s="2286"/>
      <c r="AL9" s="2102"/>
      <c r="AM9" s="2156"/>
      <c r="AN9" s="2176"/>
      <c r="AO9" s="2299"/>
      <c r="AP9" s="2301"/>
      <c r="AQ9" s="253"/>
      <c r="AR9" s="353"/>
      <c r="AS9" s="353" t="s">
        <v>504</v>
      </c>
      <c r="AT9" s="1320"/>
      <c r="AU9" s="1423"/>
      <c r="AV9" s="1320"/>
      <c r="AW9" s="1423"/>
      <c r="AX9" s="1320"/>
      <c r="AY9" s="1320"/>
      <c r="AZ9" s="1320"/>
      <c r="BA9" s="1320"/>
      <c r="BB9" s="1324"/>
      <c r="BC9" s="2243"/>
      <c r="BE9" s="437"/>
      <c r="BF9" s="437"/>
      <c r="BG9" s="437"/>
      <c r="BH9" s="437"/>
      <c r="BI9" s="1082">
        <v>0</v>
      </c>
    </row>
    <row r="10" spans="1:61" ht="11.25" hidden="1" customHeight="1">
      <c r="A10" s="1290"/>
      <c r="B10" s="1290"/>
      <c r="C10" s="1290"/>
      <c r="D10" s="1290"/>
      <c r="E10" s="2220"/>
      <c r="F10" s="2220"/>
      <c r="G10" s="2220"/>
      <c r="H10" s="2220"/>
      <c r="I10" s="2222"/>
      <c r="J10" s="2222"/>
      <c r="K10" s="2221"/>
      <c r="L10" s="1291"/>
      <c r="P10" s="2223"/>
      <c r="Q10" s="2223"/>
      <c r="R10" s="2279"/>
      <c r="S10" s="2277"/>
      <c r="T10" s="2297"/>
      <c r="U10" s="237"/>
      <c r="V10" s="1320"/>
      <c r="W10" s="1423"/>
      <c r="X10" s="1320"/>
      <c r="Y10" s="1423"/>
      <c r="Z10" s="1320"/>
      <c r="AA10" s="1320"/>
      <c r="AB10" s="1320"/>
      <c r="AC10" s="1320"/>
      <c r="AD10" s="2164"/>
      <c r="AE10" s="2272"/>
      <c r="AF10" s="2176"/>
      <c r="AG10" s="2295"/>
      <c r="AH10" s="2102"/>
      <c r="AI10" s="2272"/>
      <c r="AJ10" s="2176"/>
      <c r="AK10" s="2286"/>
      <c r="AL10" s="2102"/>
      <c r="AM10" s="253"/>
      <c r="AN10" s="1427"/>
      <c r="AO10" s="1427" t="s">
        <v>524</v>
      </c>
      <c r="AP10" s="353"/>
      <c r="AQ10" s="353"/>
      <c r="AR10" s="353"/>
      <c r="AS10" s="1320"/>
      <c r="AT10" s="1320"/>
      <c r="AU10" s="1423"/>
      <c r="AV10" s="1320"/>
      <c r="AW10" s="1423"/>
      <c r="AX10" s="1320"/>
      <c r="AY10" s="1320"/>
      <c r="AZ10" s="1320"/>
      <c r="BA10" s="1320"/>
      <c r="BB10" s="1324"/>
      <c r="BC10" s="2243"/>
      <c r="BE10" s="437"/>
      <c r="BF10" s="437"/>
      <c r="BG10" s="437"/>
      <c r="BH10" s="437"/>
      <c r="BI10" s="1082">
        <v>0</v>
      </c>
    </row>
    <row r="11" spans="1:61" ht="11.25" hidden="1" customHeight="1">
      <c r="A11" s="1290"/>
      <c r="B11" s="1290"/>
      <c r="C11" s="1290"/>
      <c r="D11" s="1290"/>
      <c r="E11" s="2220"/>
      <c r="F11" s="2220"/>
      <c r="G11" s="2220"/>
      <c r="H11" s="2220"/>
      <c r="I11" s="2222"/>
      <c r="J11" s="2222"/>
      <c r="K11" s="2221"/>
      <c r="L11" s="1291"/>
      <c r="P11" s="2223"/>
      <c r="Q11" s="2223"/>
      <c r="R11" s="2279"/>
      <c r="S11" s="2277"/>
      <c r="T11" s="2297"/>
      <c r="U11" s="237"/>
      <c r="V11" s="1320"/>
      <c r="W11" s="1423"/>
      <c r="X11" s="1320"/>
      <c r="Y11" s="1423"/>
      <c r="Z11" s="1320"/>
      <c r="AA11" s="1320"/>
      <c r="AB11" s="1320"/>
      <c r="AC11" s="1320"/>
      <c r="AD11" s="2164"/>
      <c r="AE11" s="2272"/>
      <c r="AF11" s="2176"/>
      <c r="AG11" s="2295"/>
      <c r="AH11" s="2102"/>
      <c r="AI11" s="231"/>
      <c r="AJ11" s="352"/>
      <c r="AK11" s="250" t="s">
        <v>525</v>
      </c>
      <c r="AL11" s="1320"/>
      <c r="AM11" s="1320"/>
      <c r="AN11" s="1320"/>
      <c r="AO11" s="1320"/>
      <c r="AP11" s="1320"/>
      <c r="AQ11" s="1320"/>
      <c r="AR11" s="1320"/>
      <c r="AS11" s="1320"/>
      <c r="AT11" s="1320"/>
      <c r="AU11" s="1423"/>
      <c r="AV11" s="1320"/>
      <c r="AW11" s="1423"/>
      <c r="AX11" s="1320"/>
      <c r="AY11" s="1320"/>
      <c r="AZ11" s="1320"/>
      <c r="BA11" s="1320"/>
      <c r="BB11" s="1324"/>
      <c r="BC11" s="2243"/>
      <c r="BE11" s="437"/>
      <c r="BF11" s="437"/>
      <c r="BG11" s="437"/>
      <c r="BH11" s="437"/>
      <c r="BI11" s="1082">
        <v>0</v>
      </c>
    </row>
    <row r="12" spans="1:61" ht="11.25" hidden="1" customHeight="1">
      <c r="A12" s="1290"/>
      <c r="B12" s="1290"/>
      <c r="C12" s="1290"/>
      <c r="D12" s="1290"/>
      <c r="E12" s="2220"/>
      <c r="F12" s="2220"/>
      <c r="G12" s="2220"/>
      <c r="H12" s="2220"/>
      <c r="I12" s="2222"/>
      <c r="J12" s="2222"/>
      <c r="K12" s="2221"/>
      <c r="L12" s="1291"/>
      <c r="P12" s="2223"/>
      <c r="Q12" s="2223"/>
      <c r="R12" s="2279"/>
      <c r="S12" s="2278"/>
      <c r="T12" s="2298"/>
      <c r="U12" s="237"/>
      <c r="V12" s="1320"/>
      <c r="W12" s="1321" t="str">
        <f>Z8&amp;"-"&amp;AB8</f>
        <v>-</v>
      </c>
      <c r="X12" s="1320"/>
      <c r="Y12" s="1321" t="str">
        <f>AB8&amp;"-"&amp;AD8</f>
        <v>-да</v>
      </c>
      <c r="Z12" s="1320"/>
      <c r="AA12" s="1320"/>
      <c r="AB12" s="1320"/>
      <c r="AC12" s="1320"/>
      <c r="AD12" s="2107"/>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3"/>
      <c r="BE12" s="437"/>
      <c r="BF12" s="437" t="str">
        <f t="shared" ref="BF12:BF18" si="1">IF(T12="","",T12)</f>
        <v/>
      </c>
      <c r="BG12" s="437"/>
      <c r="BH12" s="437"/>
      <c r="BI12" s="1082">
        <v>0</v>
      </c>
    </row>
    <row r="13" spans="1:61" ht="11.25" hidden="1" customHeight="1">
      <c r="A13" s="1290"/>
      <c r="B13" s="1290"/>
      <c r="C13" s="1290"/>
      <c r="D13" s="1290"/>
      <c r="E13" s="2220"/>
      <c r="F13" s="2220"/>
      <c r="G13" s="2220"/>
      <c r="H13" s="2220"/>
      <c r="I13" s="2222"/>
      <c r="J13" s="2221"/>
      <c r="K13" s="1290"/>
      <c r="L13" s="1291"/>
      <c r="P13" s="2223"/>
      <c r="Q13" s="2223"/>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4"/>
      <c r="BE13" s="437"/>
      <c r="BF13" s="437" t="str">
        <f t="shared" si="1"/>
        <v>Добавить строку</v>
      </c>
      <c r="BG13" s="437"/>
      <c r="BH13" s="437"/>
      <c r="BI13" s="1082">
        <v>0</v>
      </c>
    </row>
    <row r="14" spans="1:61" s="1569" customFormat="1" ht="14.25" hidden="1" customHeight="1">
      <c r="A14" s="1270"/>
      <c r="B14" s="1270"/>
      <c r="C14" s="1270"/>
      <c r="D14" s="1270"/>
      <c r="E14" s="2220"/>
      <c r="F14" s="2220"/>
      <c r="G14" s="2220"/>
      <c r="H14" s="2220"/>
      <c r="I14" s="2221"/>
      <c r="J14" s="1270"/>
      <c r="K14" s="1270"/>
      <c r="L14" s="1273"/>
      <c r="M14" s="447"/>
      <c r="N14" s="447"/>
      <c r="O14" s="447"/>
      <c r="P14" s="222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0"/>
      <c r="F15" s="2220"/>
      <c r="G15" s="2220"/>
      <c r="H15" s="221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0"/>
      <c r="F16" s="2220"/>
      <c r="G16" s="221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0"/>
      <c r="F17" s="2219"/>
      <c r="G17" s="1241"/>
      <c r="H17" s="1241"/>
      <c r="I17" s="1241"/>
      <c r="J17" s="1241"/>
      <c r="K17" s="1241"/>
      <c r="L17" s="1421"/>
      <c r="M17" s="1248"/>
      <c r="N17" s="1248"/>
      <c r="P17" s="1243"/>
      <c r="Q17" s="1244"/>
      <c r="R17" s="1243"/>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19"/>
      <c r="F18" s="1270"/>
      <c r="G18" s="1270"/>
      <c r="H18" s="1270"/>
      <c r="I18" s="1270"/>
      <c r="J18" s="1270"/>
      <c r="K18" s="1270"/>
      <c r="L18" s="1273"/>
      <c r="M18" s="1248"/>
      <c r="N18" s="1248"/>
      <c r="O18" s="455"/>
      <c r="P18" s="317"/>
      <c r="Q18" s="1271"/>
      <c r="R18" s="317"/>
      <c r="S18" s="1249"/>
      <c r="T18" s="1252" t="s">
        <v>418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471</v>
      </c>
      <c r="AH24" s="1434" t="s">
        <v>471</v>
      </c>
      <c r="AK24" s="1434" t="s">
        <v>508</v>
      </c>
      <c r="AL24" s="1434" t="s">
        <v>471</v>
      </c>
      <c r="AP24" s="1434" t="s">
        <v>471</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0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c r="AS28" s="2200"/>
      <c r="AT28" s="2200"/>
      <c r="AU28" s="2200"/>
      <c r="AV28" s="2200"/>
      <c r="AW28" s="2200"/>
      <c r="AX28" s="2200"/>
      <c r="AY28" s="2200"/>
      <c r="AZ28" s="2200"/>
      <c r="BA28" s="1170"/>
      <c r="BI28" s="1082">
        <v>14</v>
      </c>
    </row>
    <row r="29" spans="1:61" ht="14.65" customHeight="1">
      <c r="Q29" s="228"/>
      <c r="R29" s="313"/>
      <c r="S29" s="2172" t="str">
        <f>IF(org=0,"Не определено",org)</f>
        <v>МУП "Михайловское водопроводно-канализационное хозяйство"</v>
      </c>
      <c r="T29" s="2172"/>
      <c r="U29" s="2172"/>
      <c r="V29" s="2172"/>
      <c r="W29" s="2172"/>
      <c r="X29" s="2172"/>
      <c r="Y29" s="2172"/>
      <c r="Z29" s="2172"/>
      <c r="AA29" s="2172"/>
      <c r="AB29" s="2172"/>
      <c r="AC29" s="2172"/>
      <c r="AD29" s="2172"/>
      <c r="AE29" s="2172"/>
      <c r="AF29" s="2172"/>
      <c r="AG29" s="2172"/>
      <c r="AH29" s="2172"/>
      <c r="AI29" s="2172"/>
      <c r="AJ29" s="2172"/>
      <c r="AK29" s="2172"/>
      <c r="AL29" s="2172"/>
      <c r="AM29" s="2172"/>
      <c r="AN29" s="2172"/>
      <c r="AO29" s="2172"/>
      <c r="AP29" s="2172"/>
      <c r="AQ29" s="2172"/>
      <c r="AR29" s="2172"/>
      <c r="AS29" s="2172"/>
      <c r="AT29" s="2172"/>
      <c r="AU29" s="2172"/>
      <c r="AV29" s="2172"/>
      <c r="AW29" s="2172"/>
      <c r="AX29" s="2172"/>
      <c r="AY29" s="2172"/>
      <c r="AZ29" s="217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10" t="s">
        <v>42</v>
      </c>
      <c r="T31" s="2210"/>
      <c r="U31" s="1299"/>
      <c r="V31" s="2212" t="str">
        <f>IF(TITLE_NAME_OR_PR_CHANGE="",IF(TITLE_NAME_OR_PR="","",TITLE_NAME_OR_PR),TITLE_NAME_OR_PR_CHANGE)</f>
        <v/>
      </c>
      <c r="W31" s="2212"/>
      <c r="X31" s="2212"/>
      <c r="Y31" s="2212"/>
      <c r="Z31" s="2212"/>
      <c r="AA31" s="2212"/>
      <c r="AB31" s="2212"/>
      <c r="AC31" s="263"/>
      <c r="AD31" s="2212" t="str">
        <f>IF(TITLE_NAME_OR_PR_CHANGE="",IF(TITLE_NAME_OR_PR="","",TITLE_NAME_OR_PR),TITLE_NAME_OR_PR_CHANGE)</f>
        <v/>
      </c>
      <c r="AE31" s="2212"/>
      <c r="AF31" s="2212"/>
      <c r="AG31" s="2212"/>
      <c r="AH31" s="2212"/>
      <c r="AI31" s="2212"/>
      <c r="AJ31" s="2212"/>
      <c r="AK31" s="2212"/>
      <c r="AL31" s="2212"/>
      <c r="AM31" s="2212"/>
      <c r="AN31" s="2212"/>
      <c r="AO31" s="2212"/>
      <c r="AP31" s="2212"/>
      <c r="AQ31" s="2212"/>
      <c r="AR31" s="2212"/>
      <c r="AS31" s="2212"/>
      <c r="AT31" s="2212"/>
      <c r="AU31" s="2212"/>
      <c r="AV31" s="2212"/>
      <c r="AW31" s="2212"/>
      <c r="AX31" s="2212"/>
      <c r="AY31" s="2212"/>
      <c r="AZ31" s="221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10" t="s">
        <v>425</v>
      </c>
      <c r="T32" s="2210"/>
      <c r="U32" s="1299"/>
      <c r="V32" s="2211" t="str">
        <f>IF(TITLE_DATE_PR_CHANGE="",IF(TITLE_DATE_PR="","",TITLE_DATE_PR),TITLE_DATE_PR_CHANGE)</f>
        <v/>
      </c>
      <c r="W32" s="2211"/>
      <c r="X32" s="2211"/>
      <c r="Y32" s="2211"/>
      <c r="Z32" s="2211"/>
      <c r="AA32" s="2211"/>
      <c r="AB32" s="2211"/>
      <c r="AC32" s="263"/>
      <c r="AD32" s="2211" t="str">
        <f>IF(TITLE_DATE_PR_CHANGE="",IF(TITLE_DATE_PR="","",TITLE_DATE_PR),TITLE_DATE_PR_CHANGE)</f>
        <v/>
      </c>
      <c r="AE32" s="2211"/>
      <c r="AF32" s="2211"/>
      <c r="AG32" s="2211"/>
      <c r="AH32" s="2211"/>
      <c r="AI32" s="2211"/>
      <c r="AJ32" s="2211"/>
      <c r="AK32" s="2211"/>
      <c r="AL32" s="2211"/>
      <c r="AM32" s="2211"/>
      <c r="AN32" s="2211"/>
      <c r="AO32" s="2211"/>
      <c r="AP32" s="2211"/>
      <c r="AQ32" s="2211"/>
      <c r="AR32" s="2211"/>
      <c r="AS32" s="2211"/>
      <c r="AT32" s="2211"/>
      <c r="AU32" s="2211"/>
      <c r="AV32" s="2211"/>
      <c r="AW32" s="2211"/>
      <c r="AX32" s="2211"/>
      <c r="AY32" s="2211"/>
      <c r="AZ32" s="221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10" t="s">
        <v>426</v>
      </c>
      <c r="T33" s="2210"/>
      <c r="U33" s="1299"/>
      <c r="V33" s="2212" t="str">
        <f>IF(TITLE_NUMBER_PR_CHANGE="",IF(TITLE_NUMBER_PR="","",TITLE_NUMBER_PR),TITLE_NUMBER_PR_CHANGE)</f>
        <v/>
      </c>
      <c r="W33" s="2212"/>
      <c r="X33" s="2212"/>
      <c r="Y33" s="2212"/>
      <c r="Z33" s="2212"/>
      <c r="AA33" s="2212"/>
      <c r="AB33" s="2212"/>
      <c r="AC33" s="263"/>
      <c r="AD33" s="2212" t="str">
        <f>IF(TITLE_NUMBER_PR_CHANGE="",IF(TITLE_NUMBER_PR="","",TITLE_NUMBER_PR),TITLE_NUMBER_PR_CHANGE)</f>
        <v/>
      </c>
      <c r="AE33" s="2212"/>
      <c r="AF33" s="2212"/>
      <c r="AG33" s="2212"/>
      <c r="AH33" s="2212"/>
      <c r="AI33" s="2212"/>
      <c r="AJ33" s="2212"/>
      <c r="AK33" s="2212"/>
      <c r="AL33" s="2212"/>
      <c r="AM33" s="2212"/>
      <c r="AN33" s="2212"/>
      <c r="AO33" s="2212"/>
      <c r="AP33" s="2212"/>
      <c r="AQ33" s="2212"/>
      <c r="AR33" s="2212"/>
      <c r="AS33" s="2212"/>
      <c r="AT33" s="2212"/>
      <c r="AU33" s="2212"/>
      <c r="AV33" s="2212"/>
      <c r="AW33" s="2212"/>
      <c r="AX33" s="2212"/>
      <c r="AY33" s="2212"/>
      <c r="AZ33" s="221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10" t="s">
        <v>43</v>
      </c>
      <c r="T34" s="2210"/>
      <c r="U34" s="1299"/>
      <c r="V34" s="2212" t="str">
        <f>IF(TITLE_IST_PUB_CHANGE="",IF(TITLE_IST_PUB="","",TITLE_IST_PUB),TITLE_IST_PUB_CHANGE)</f>
        <v/>
      </c>
      <c r="W34" s="2212"/>
      <c r="X34" s="2212"/>
      <c r="Y34" s="2212"/>
      <c r="Z34" s="2212"/>
      <c r="AA34" s="2212"/>
      <c r="AB34" s="2212"/>
      <c r="AC34" s="263"/>
      <c r="AD34" s="2212" t="str">
        <f>IF(TITLE_IST_PUB_CHANGE="",IF(TITLE_IST_PUB="","",TITLE_IST_PUB),TITLE_IST_PUB_CHANGE)</f>
        <v/>
      </c>
      <c r="AE34" s="2212"/>
      <c r="AF34" s="2212"/>
      <c r="AG34" s="2212"/>
      <c r="AH34" s="2212"/>
      <c r="AI34" s="2212"/>
      <c r="AJ34" s="2212"/>
      <c r="AK34" s="2212"/>
      <c r="AL34" s="2212"/>
      <c r="AM34" s="2212"/>
      <c r="AN34" s="2212"/>
      <c r="AO34" s="2212"/>
      <c r="AP34" s="2212"/>
      <c r="AQ34" s="2212"/>
      <c r="AR34" s="2212"/>
      <c r="AS34" s="2212"/>
      <c r="AT34" s="2212"/>
      <c r="AU34" s="2212"/>
      <c r="AV34" s="2212"/>
      <c r="AW34" s="2212"/>
      <c r="AX34" s="2212"/>
      <c r="AY34" s="2212"/>
      <c r="AZ34" s="221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10" t="s">
        <v>425</v>
      </c>
      <c r="T36" s="2210"/>
      <c r="U36" s="1299"/>
      <c r="V36" s="2211" t="str">
        <f>IF(TITLE_DATE_PR_CHANGE="",IF(TITLE_DATE_PR="","",TITLE_DATE_PR),TITLE_DATE_PR_CHANGE)</f>
        <v/>
      </c>
      <c r="W36" s="2211"/>
      <c r="X36" s="2211"/>
      <c r="Y36" s="2211"/>
      <c r="Z36" s="2211"/>
      <c r="AA36" s="2211"/>
      <c r="AB36" s="2211"/>
      <c r="AC36" s="263"/>
      <c r="AD36" s="2211" t="str">
        <f>IF(TITLE_DATE_PR_CHANGE="",IF(TITLE_DATE_PR="","",TITLE_DATE_PR),TITLE_DATE_PR_CHANGE)</f>
        <v/>
      </c>
      <c r="AE36" s="2211"/>
      <c r="AF36" s="2211"/>
      <c r="AG36" s="2211"/>
      <c r="AH36" s="2211"/>
      <c r="AI36" s="2211"/>
      <c r="AJ36" s="2211"/>
      <c r="AK36" s="2211"/>
      <c r="AL36" s="2211"/>
      <c r="AM36" s="2211"/>
      <c r="AN36" s="2211"/>
      <c r="AO36" s="2211"/>
      <c r="AP36" s="2211"/>
      <c r="AQ36" s="2211"/>
      <c r="AR36" s="2211"/>
      <c r="AS36" s="2211"/>
      <c r="AT36" s="2211"/>
      <c r="AU36" s="2211"/>
      <c r="AV36" s="2211"/>
      <c r="AW36" s="2211"/>
      <c r="AX36" s="2211"/>
      <c r="AY36" s="2211"/>
      <c r="AZ36" s="221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10" t="s">
        <v>426</v>
      </c>
      <c r="T37" s="2210"/>
      <c r="U37" s="1299"/>
      <c r="V37" s="2212" t="str">
        <f>IF(TITLE_NUMBER_PR_CHANGE="",IF(TITLE_NUMBER_PR="","",TITLE_NUMBER_PR),TITLE_NUMBER_PR_CHANGE)</f>
        <v/>
      </c>
      <c r="W37" s="2212"/>
      <c r="X37" s="2212"/>
      <c r="Y37" s="2212"/>
      <c r="Z37" s="2212"/>
      <c r="AA37" s="2212"/>
      <c r="AB37" s="2212"/>
      <c r="AC37" s="263"/>
      <c r="AD37" s="2212" t="str">
        <f>IF(TITLE_NUMBER_PR_CHANGE="",IF(TITLE_NUMBER_PR="","",TITLE_NUMBER_PR),TITLE_NUMBER_PR_CHANGE)</f>
        <v/>
      </c>
      <c r="AE37" s="2212"/>
      <c r="AF37" s="2212"/>
      <c r="AG37" s="2212"/>
      <c r="AH37" s="2212"/>
      <c r="AI37" s="2212"/>
      <c r="AJ37" s="2212"/>
      <c r="AK37" s="2212"/>
      <c r="AL37" s="2212"/>
      <c r="AM37" s="2212"/>
      <c r="AN37" s="2212"/>
      <c r="AO37" s="2212"/>
      <c r="AP37" s="2212"/>
      <c r="AQ37" s="2212"/>
      <c r="AR37" s="2212"/>
      <c r="AS37" s="2212"/>
      <c r="AT37" s="2212"/>
      <c r="AU37" s="2212"/>
      <c r="AV37" s="2212"/>
      <c r="AW37" s="2212"/>
      <c r="AX37" s="2212"/>
      <c r="AY37" s="2212"/>
      <c r="AZ37" s="221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5"/>
      <c r="BE38" s="305"/>
      <c r="BF38" s="305"/>
      <c r="BG38" s="305"/>
      <c r="BH38" s="305"/>
      <c r="BI38" s="355">
        <v>0</v>
      </c>
    </row>
    <row r="39" spans="1:61" ht="14.65" customHeight="1">
      <c r="Q39" s="228"/>
      <c r="R39" s="313"/>
      <c r="S39" s="1202"/>
      <c r="T39" s="300"/>
      <c r="U39" s="117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c r="AS39" s="2231"/>
      <c r="AT39" s="2231"/>
      <c r="AU39" s="2231"/>
      <c r="AV39" s="2231"/>
      <c r="AW39" s="2231"/>
      <c r="AX39" s="2231"/>
      <c r="AY39" s="2231"/>
      <c r="AZ39" s="2231"/>
      <c r="BA39" s="2231"/>
      <c r="BI39" s="1082">
        <v>14</v>
      </c>
    </row>
    <row r="40" spans="1:61" ht="14.65" customHeight="1">
      <c r="Q40" s="228"/>
      <c r="R40" s="313"/>
      <c r="S40" s="2091" t="s">
        <v>302</v>
      </c>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t="s">
        <v>303</v>
      </c>
      <c r="BI40" s="1082">
        <v>14</v>
      </c>
    </row>
    <row r="41" spans="1:61" ht="14.65" customHeight="1">
      <c r="Q41" s="228"/>
      <c r="R41" s="313"/>
      <c r="S41" s="2232" t="s">
        <v>87</v>
      </c>
      <c r="T41" s="2180" t="s">
        <v>509</v>
      </c>
      <c r="U41" s="238"/>
      <c r="V41" s="2233" t="s">
        <v>431</v>
      </c>
      <c r="W41" s="2234"/>
      <c r="X41" s="2234"/>
      <c r="Y41" s="2234"/>
      <c r="Z41" s="2234"/>
      <c r="AA41" s="2234"/>
      <c r="AB41" s="2235"/>
      <c r="AC41" s="2236" t="s">
        <v>432</v>
      </c>
      <c r="AD41" s="2265" t="s">
        <v>526</v>
      </c>
      <c r="AE41" s="2249"/>
      <c r="AF41" s="2249"/>
      <c r="AG41" s="2266"/>
      <c r="AH41" s="2265" t="s">
        <v>527</v>
      </c>
      <c r="AI41" s="2249"/>
      <c r="AJ41" s="2249"/>
      <c r="AK41" s="2266"/>
      <c r="AL41" s="2265" t="s">
        <v>528</v>
      </c>
      <c r="AM41" s="2249"/>
      <c r="AN41" s="2249"/>
      <c r="AO41" s="2266"/>
      <c r="AP41" s="2265" t="s">
        <v>513</v>
      </c>
      <c r="AQ41" s="2249"/>
      <c r="AR41" s="2249"/>
      <c r="AS41" s="2266"/>
      <c r="AT41" s="2233" t="s">
        <v>431</v>
      </c>
      <c r="AU41" s="2234"/>
      <c r="AV41" s="2234"/>
      <c r="AW41" s="2234"/>
      <c r="AX41" s="2234"/>
      <c r="AY41" s="2234"/>
      <c r="AZ41" s="2235"/>
      <c r="BA41" s="2236" t="s">
        <v>432</v>
      </c>
      <c r="BB41" s="2239" t="s">
        <v>434</v>
      </c>
      <c r="BC41" s="2091"/>
      <c r="BI41" s="1082">
        <v>14</v>
      </c>
    </row>
    <row r="42" spans="1:61" ht="35.65" customHeight="1">
      <c r="Q42" s="228"/>
      <c r="R42" s="313"/>
      <c r="S42" s="2232"/>
      <c r="T42" s="2180"/>
      <c r="U42" s="961"/>
      <c r="V42" s="2151" t="s">
        <v>514</v>
      </c>
      <c r="W42" s="2152"/>
      <c r="X42" s="2151" t="s">
        <v>515</v>
      </c>
      <c r="Y42" s="2152"/>
      <c r="Z42" s="2151" t="s">
        <v>516</v>
      </c>
      <c r="AA42" s="2261"/>
      <c r="AB42" s="2152"/>
      <c r="AC42" s="2237"/>
      <c r="AD42" s="2267"/>
      <c r="AE42" s="2268"/>
      <c r="AF42" s="2268"/>
      <c r="AG42" s="2280"/>
      <c r="AH42" s="2267"/>
      <c r="AI42" s="2268"/>
      <c r="AJ42" s="2268"/>
      <c r="AK42" s="2280"/>
      <c r="AL42" s="2267"/>
      <c r="AM42" s="2268"/>
      <c r="AN42" s="2268"/>
      <c r="AO42" s="2280"/>
      <c r="AP42" s="2267"/>
      <c r="AQ42" s="2268"/>
      <c r="AR42" s="2268"/>
      <c r="AS42" s="2280"/>
      <c r="AT42" s="2151" t="s">
        <v>529</v>
      </c>
      <c r="AU42" s="2152"/>
      <c r="AV42" s="2151" t="s">
        <v>530</v>
      </c>
      <c r="AW42" s="2152"/>
      <c r="AX42" s="2151" t="s">
        <v>516</v>
      </c>
      <c r="AY42" s="2261"/>
      <c r="AZ42" s="2152"/>
      <c r="BA42" s="2237"/>
      <c r="BB42" s="2240"/>
      <c r="BC42" s="2091"/>
      <c r="BI42" s="1082">
        <v>34</v>
      </c>
    </row>
    <row r="43" spans="1:61" ht="14.65" customHeight="1">
      <c r="Q43" s="228"/>
      <c r="R43" s="313"/>
      <c r="S43" s="2232"/>
      <c r="T43" s="2180"/>
      <c r="U43" s="961"/>
      <c r="V43" s="2156"/>
      <c r="W43" s="2157"/>
      <c r="X43" s="2156"/>
      <c r="Y43" s="2157"/>
      <c r="Z43" s="2156"/>
      <c r="AA43" s="2262"/>
      <c r="AB43" s="2157"/>
      <c r="AC43" s="2237"/>
      <c r="AD43" s="2267"/>
      <c r="AE43" s="2268"/>
      <c r="AF43" s="2268"/>
      <c r="AG43" s="2280"/>
      <c r="AH43" s="2267"/>
      <c r="AI43" s="2268"/>
      <c r="AJ43" s="2268"/>
      <c r="AK43" s="2280"/>
      <c r="AL43" s="2267"/>
      <c r="AM43" s="2268"/>
      <c r="AN43" s="2268"/>
      <c r="AO43" s="2280"/>
      <c r="AP43" s="2267"/>
      <c r="AQ43" s="2268"/>
      <c r="AR43" s="2268"/>
      <c r="AS43" s="2280"/>
      <c r="AT43" s="2156"/>
      <c r="AU43" s="2157"/>
      <c r="AV43" s="2156"/>
      <c r="AW43" s="2157"/>
      <c r="AX43" s="2156"/>
      <c r="AY43" s="2262"/>
      <c r="AZ43" s="2157"/>
      <c r="BA43" s="2237"/>
      <c r="BB43" s="2240"/>
      <c r="BC43" s="2091"/>
      <c r="BI43" s="1082">
        <v>14</v>
      </c>
    </row>
    <row r="44" spans="1:61" ht="14.65" customHeight="1">
      <c r="A44" s="1297"/>
      <c r="B44" s="1297" t="s">
        <v>139</v>
      </c>
      <c r="C44" s="1297" t="s">
        <v>140</v>
      </c>
      <c r="D44" s="1297" t="s">
        <v>141</v>
      </c>
      <c r="E44" s="1291" t="s">
        <v>439</v>
      </c>
      <c r="F44" s="1291" t="s">
        <v>440</v>
      </c>
      <c r="G44" s="1291" t="s">
        <v>441</v>
      </c>
      <c r="H44" s="1291" t="s">
        <v>442</v>
      </c>
      <c r="I44" s="1291" t="s">
        <v>443</v>
      </c>
      <c r="J44" s="1291" t="s">
        <v>444</v>
      </c>
      <c r="K44" s="1291" t="s">
        <v>445</v>
      </c>
      <c r="L44" s="1291" t="s">
        <v>420</v>
      </c>
      <c r="Q44" s="228"/>
      <c r="R44" s="313"/>
      <c r="S44" s="2232"/>
      <c r="T44" s="2180"/>
      <c r="U44" s="239"/>
      <c r="V44" s="1406" t="s">
        <v>480</v>
      </c>
      <c r="W44" s="1406" t="s">
        <v>481</v>
      </c>
      <c r="X44" s="1406" t="s">
        <v>480</v>
      </c>
      <c r="Y44" s="1406" t="s">
        <v>481</v>
      </c>
      <c r="Z44" s="1416" t="s">
        <v>448</v>
      </c>
      <c r="AA44" s="2185" t="s">
        <v>449</v>
      </c>
      <c r="AB44" s="2199"/>
      <c r="AC44" s="2238"/>
      <c r="AD44" s="2269"/>
      <c r="AE44" s="2270"/>
      <c r="AF44" s="2270"/>
      <c r="AG44" s="2271"/>
      <c r="AH44" s="2269"/>
      <c r="AI44" s="2270"/>
      <c r="AJ44" s="2270"/>
      <c r="AK44" s="2271"/>
      <c r="AL44" s="2269"/>
      <c r="AM44" s="2270"/>
      <c r="AN44" s="2270"/>
      <c r="AO44" s="2271"/>
      <c r="AP44" s="2269"/>
      <c r="AQ44" s="2270"/>
      <c r="AR44" s="2270"/>
      <c r="AS44" s="2271"/>
      <c r="AT44" s="1406" t="s">
        <v>480</v>
      </c>
      <c r="AU44" s="1406" t="s">
        <v>481</v>
      </c>
      <c r="AV44" s="1406" t="s">
        <v>480</v>
      </c>
      <c r="AW44" s="1406" t="s">
        <v>481</v>
      </c>
      <c r="AX44" s="1416" t="s">
        <v>448</v>
      </c>
      <c r="AY44" s="2185" t="s">
        <v>449</v>
      </c>
      <c r="AZ44" s="2199"/>
      <c r="BA44" s="2238"/>
      <c r="BB44" s="2241"/>
      <c r="BC44" s="209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30">
        <f t="shared" ca="1" si="2"/>
        <v>8</v>
      </c>
      <c r="AB45" s="223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0">
        <f ca="1">OFFSET(AY45,0,-1)+1</f>
        <v>3</v>
      </c>
      <c r="AZ45" s="2230"/>
      <c r="BA45" s="1409">
        <f ca="1">OFFSET(BA45,0,-2)+1</f>
        <v>4</v>
      </c>
      <c r="BB45" s="1172">
        <f ca="1">OFFSET(BB45,0,-1)</f>
        <v>4</v>
      </c>
      <c r="BC45" s="1409">
        <f ca="1">OFFSET(BC45,0,-1)+1</f>
        <v>5</v>
      </c>
      <c r="BD45" s="448"/>
      <c r="BE45" s="448"/>
      <c r="BF45" s="448"/>
      <c r="BG45" s="448"/>
      <c r="BH45" s="448"/>
      <c r="BI45" s="433">
        <v>0</v>
      </c>
    </row>
    <row r="46" spans="1:61" ht="21.95" customHeight="1">
      <c r="A46" s="1290" t="s">
        <v>278</v>
      </c>
      <c r="B46" s="1290"/>
      <c r="C46" s="1290"/>
      <c r="D46" s="1290"/>
      <c r="E46" s="221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127</v>
      </c>
      <c r="U46" s="237"/>
      <c r="V46" s="2214"/>
      <c r="W46" s="2214"/>
      <c r="X46" s="2214"/>
      <c r="Y46" s="2214"/>
      <c r="Z46" s="2214"/>
      <c r="AA46" s="2214"/>
      <c r="AB46" s="2214"/>
      <c r="AC46" s="2215"/>
      <c r="AD46" s="2213" t="str">
        <f>INDEX(PT_DIFFERENTIATION_NTAR,MATCH(A46,PT_DIFFERENTIATION_NTAR_ID,0))</f>
        <v/>
      </c>
      <c r="AE46" s="2214"/>
      <c r="AF46" s="2214"/>
      <c r="AG46" s="2214"/>
      <c r="AH46" s="2214"/>
      <c r="AI46" s="2214"/>
      <c r="AJ46" s="2214"/>
      <c r="AK46" s="2214"/>
      <c r="AL46" s="2214"/>
      <c r="AM46" s="2214"/>
      <c r="AN46" s="2214"/>
      <c r="AO46" s="2214"/>
      <c r="AP46" s="2214"/>
      <c r="AQ46" s="2214"/>
      <c r="AR46" s="2214"/>
      <c r="AS46" s="2214"/>
      <c r="AT46" s="2214"/>
      <c r="AU46" s="2214"/>
      <c r="AV46" s="2214"/>
      <c r="AW46" s="2214"/>
      <c r="AX46" s="2214"/>
      <c r="AY46" s="2214"/>
      <c r="AZ46" s="2214"/>
      <c r="BA46" s="2214"/>
      <c r="BB46" s="221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278</v>
      </c>
      <c r="B47" s="1290" t="s">
        <v>279</v>
      </c>
      <c r="C47" s="1290"/>
      <c r="D47" s="1290"/>
      <c r="E47" s="2220"/>
      <c r="F47" s="2219">
        <v>1</v>
      </c>
      <c r="G47" s="1290"/>
      <c r="H47" s="1290"/>
      <c r="I47" s="1290"/>
      <c r="J47" s="1290"/>
      <c r="K47" s="1290"/>
      <c r="L47" s="1291"/>
      <c r="M47" s="1292"/>
      <c r="N47" s="1292"/>
      <c r="O47" s="1292"/>
      <c r="P47" s="1337"/>
      <c r="Q47" s="1338"/>
      <c r="R47" s="290"/>
      <c r="S47" s="1420" t="str">
        <f>INDEX(PT_DIFFERENTIATION_NUM_TER,MATCH(B47,PT_DIFFERENTIATION_TER_ID,0))</f>
        <v>.</v>
      </c>
      <c r="T47" s="245" t="s">
        <v>399</v>
      </c>
      <c r="U47" s="237"/>
      <c r="V47" s="2214"/>
      <c r="W47" s="2214"/>
      <c r="X47" s="2214"/>
      <c r="Y47" s="2214"/>
      <c r="Z47" s="2214"/>
      <c r="AA47" s="2214"/>
      <c r="AB47" s="2214"/>
      <c r="AC47" s="2215"/>
      <c r="AD47" s="2213" t="str">
        <f>INDEX(PT_DIFFERENTIATION_TER,MATCH(B47,PT_DIFFERENTIATION_TER_ID,0))</f>
        <v/>
      </c>
      <c r="AE47" s="2214"/>
      <c r="AF47" s="2214"/>
      <c r="AG47" s="2214"/>
      <c r="AH47" s="2214"/>
      <c r="AI47" s="2214"/>
      <c r="AJ47" s="2214"/>
      <c r="AK47" s="2214"/>
      <c r="AL47" s="2214"/>
      <c r="AM47" s="2214"/>
      <c r="AN47" s="2214"/>
      <c r="AO47" s="2214"/>
      <c r="AP47" s="2214"/>
      <c r="AQ47" s="2214"/>
      <c r="AR47" s="2214"/>
      <c r="AS47" s="2214"/>
      <c r="AT47" s="2214"/>
      <c r="AU47" s="2214"/>
      <c r="AV47" s="2214"/>
      <c r="AW47" s="2214"/>
      <c r="AX47" s="2214"/>
      <c r="AY47" s="2214"/>
      <c r="AZ47" s="2214"/>
      <c r="BA47" s="2214"/>
      <c r="BB47" s="2215"/>
      <c r="BC47" s="1185" t="s">
        <v>400</v>
      </c>
      <c r="BE47" s="437"/>
      <c r="BF47" s="437" t="str">
        <f t="shared" si="3"/>
        <v>Территория действия тарифа</v>
      </c>
      <c r="BG47" s="437"/>
      <c r="BH47" s="437"/>
      <c r="BI47" s="1082">
        <v>21</v>
      </c>
    </row>
    <row r="48" spans="1:61" ht="35.65" customHeight="1">
      <c r="A48" s="1290" t="s">
        <v>278</v>
      </c>
      <c r="B48" s="1290" t="s">
        <v>279</v>
      </c>
      <c r="C48" s="1290" t="s">
        <v>280</v>
      </c>
      <c r="D48" s="1290"/>
      <c r="E48" s="2220"/>
      <c r="F48" s="2220"/>
      <c r="G48" s="2219">
        <v>1</v>
      </c>
      <c r="H48" s="1290"/>
      <c r="I48" s="1290"/>
      <c r="J48" s="1290"/>
      <c r="K48" s="1290"/>
      <c r="L48" s="1291"/>
      <c r="M48" s="1292"/>
      <c r="N48" s="1292"/>
      <c r="O48" s="1292"/>
      <c r="P48" s="1339"/>
      <c r="Q48" s="1338"/>
      <c r="R48" s="290"/>
      <c r="S48" s="1420" t="str">
        <f>INDEX(PT_DIFFERENTIATION_NUM_CS,MATCH(C48,PT_DIFFERENTIATION_CS_ID,0))</f>
        <v>..</v>
      </c>
      <c r="T48" s="246" t="s">
        <v>518</v>
      </c>
      <c r="U48" s="237"/>
      <c r="V48" s="2214"/>
      <c r="W48" s="2214"/>
      <c r="X48" s="2214"/>
      <c r="Y48" s="2214"/>
      <c r="Z48" s="2214"/>
      <c r="AA48" s="2214"/>
      <c r="AB48" s="2214"/>
      <c r="AC48" s="2215"/>
      <c r="AD48" s="2213" t="str">
        <f>INDEX(PT_DIFFERENTIATION_CS,MATCH(C48,PT_DIFFERENTIATION_CS_ID,0))</f>
        <v/>
      </c>
      <c r="AE48" s="2214"/>
      <c r="AF48" s="2214"/>
      <c r="AG48" s="2214"/>
      <c r="AH48" s="2214"/>
      <c r="AI48" s="2214"/>
      <c r="AJ48" s="2214"/>
      <c r="AK48" s="2214"/>
      <c r="AL48" s="2214"/>
      <c r="AM48" s="2214"/>
      <c r="AN48" s="2214"/>
      <c r="AO48" s="2214"/>
      <c r="AP48" s="2214"/>
      <c r="AQ48" s="2214"/>
      <c r="AR48" s="2214"/>
      <c r="AS48" s="2214"/>
      <c r="AT48" s="2214"/>
      <c r="AU48" s="2214"/>
      <c r="AV48" s="2214"/>
      <c r="AW48" s="2214"/>
      <c r="AX48" s="2214"/>
      <c r="AY48" s="2214"/>
      <c r="AZ48" s="2214"/>
      <c r="BA48" s="2214"/>
      <c r="BB48" s="2215"/>
      <c r="BC48" s="1185" t="s">
        <v>519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278</v>
      </c>
      <c r="B49" s="1270" t="s">
        <v>279</v>
      </c>
      <c r="C49" s="1270" t="s">
        <v>280</v>
      </c>
      <c r="D49" s="1270" t="s">
        <v>531</v>
      </c>
      <c r="E49" s="2220"/>
      <c r="F49" s="2220"/>
      <c r="G49" s="2220"/>
      <c r="H49" s="2219">
        <v>1</v>
      </c>
      <c r="I49" s="1270"/>
      <c r="J49" s="1270"/>
      <c r="K49" s="1270"/>
      <c r="L49" s="1273"/>
      <c r="M49" s="1242"/>
      <c r="N49" s="1242"/>
      <c r="O49" s="1242"/>
      <c r="P49" s="1424"/>
      <c r="Q49" s="1425"/>
      <c r="R49" s="294"/>
      <c r="S49" s="972"/>
      <c r="T49" s="1426"/>
      <c r="U49" s="1311"/>
      <c r="V49" s="2251"/>
      <c r="W49" s="2251"/>
      <c r="X49" s="2251"/>
      <c r="Y49" s="2251"/>
      <c r="Z49" s="2251"/>
      <c r="AA49" s="2251"/>
      <c r="AB49" s="2251"/>
      <c r="AC49" s="2252"/>
      <c r="AD49" s="2250"/>
      <c r="AE49" s="2251"/>
      <c r="AF49" s="2251"/>
      <c r="AG49" s="2251"/>
      <c r="AH49" s="2251"/>
      <c r="AI49" s="2251"/>
      <c r="AJ49" s="2251"/>
      <c r="AK49" s="2251"/>
      <c r="AL49" s="2251"/>
      <c r="AM49" s="2251"/>
      <c r="AN49" s="2251"/>
      <c r="AO49" s="2251"/>
      <c r="AP49" s="2251"/>
      <c r="AQ49" s="2251"/>
      <c r="AR49" s="2251"/>
      <c r="AS49" s="2251"/>
      <c r="AT49" s="2251"/>
      <c r="AU49" s="2251"/>
      <c r="AV49" s="2251"/>
      <c r="AW49" s="2251"/>
      <c r="AX49" s="2251"/>
      <c r="AY49" s="2251"/>
      <c r="AZ49" s="2251"/>
      <c r="BA49" s="2251"/>
      <c r="BB49" s="2252"/>
      <c r="BC49" s="1312" t="s">
        <v>404</v>
      </c>
      <c r="BE49" s="437"/>
      <c r="BF49" s="437" t="str">
        <f t="shared" si="3"/>
        <v/>
      </c>
      <c r="BG49" s="437"/>
      <c r="BH49" s="437"/>
      <c r="BI49" s="448">
        <v>0</v>
      </c>
    </row>
    <row r="50" spans="1:61" s="1569" customFormat="1" ht="0" hidden="1" customHeight="1">
      <c r="A50" s="1270" t="s">
        <v>278</v>
      </c>
      <c r="B50" s="1270" t="s">
        <v>279</v>
      </c>
      <c r="C50" s="1270" t="s">
        <v>280</v>
      </c>
      <c r="D50" s="1270" t="s">
        <v>531</v>
      </c>
      <c r="E50" s="2220"/>
      <c r="F50" s="2220"/>
      <c r="G50" s="2220"/>
      <c r="H50" s="2220"/>
      <c r="I50" s="2221" t="str">
        <f>S49&amp;".1"</f>
        <v>.1</v>
      </c>
      <c r="J50" s="1270"/>
      <c r="K50" s="1270"/>
      <c r="L50" s="1273" t="s">
        <v>405</v>
      </c>
      <c r="M50" s="447"/>
      <c r="N50" s="447"/>
      <c r="O50" s="447"/>
      <c r="P50" s="2223">
        <v>1</v>
      </c>
      <c r="Q50" s="1408"/>
      <c r="R50" s="293"/>
      <c r="S50" s="972"/>
      <c r="T50" s="1310"/>
      <c r="U50" s="1311"/>
      <c r="V50" s="2251"/>
      <c r="W50" s="2251"/>
      <c r="X50" s="2251"/>
      <c r="Y50" s="2251"/>
      <c r="Z50" s="2251"/>
      <c r="AA50" s="2251"/>
      <c r="AB50" s="2251"/>
      <c r="AC50" s="2252"/>
      <c r="AD50" s="2250"/>
      <c r="AE50" s="2251"/>
      <c r="AF50" s="2251"/>
      <c r="AG50" s="2251"/>
      <c r="AH50" s="2251"/>
      <c r="AI50" s="2251"/>
      <c r="AJ50" s="2251"/>
      <c r="AK50" s="2251"/>
      <c r="AL50" s="2251"/>
      <c r="AM50" s="2251"/>
      <c r="AN50" s="2251"/>
      <c r="AO50" s="2251"/>
      <c r="AP50" s="2251"/>
      <c r="AQ50" s="2251"/>
      <c r="AR50" s="2251"/>
      <c r="AS50" s="2251"/>
      <c r="AT50" s="2251"/>
      <c r="AU50" s="2251"/>
      <c r="AV50" s="2251"/>
      <c r="AW50" s="2251"/>
      <c r="AX50" s="2251"/>
      <c r="AY50" s="2251"/>
      <c r="AZ50" s="2251"/>
      <c r="BA50" s="2251"/>
      <c r="BB50" s="2252"/>
      <c r="BC50" s="1312"/>
      <c r="BE50" s="437"/>
      <c r="BF50" s="437" t="str">
        <f t="shared" si="3"/>
        <v/>
      </c>
      <c r="BG50" s="437"/>
      <c r="BH50" s="437"/>
      <c r="BI50" s="448">
        <v>0</v>
      </c>
    </row>
    <row r="51" spans="1:61" s="1569" customFormat="1" ht="0" hidden="1" customHeight="1">
      <c r="A51" s="1270" t="s">
        <v>278</v>
      </c>
      <c r="B51" s="1270" t="s">
        <v>279</v>
      </c>
      <c r="C51" s="1270" t="s">
        <v>280</v>
      </c>
      <c r="D51" s="1270" t="s">
        <v>531</v>
      </c>
      <c r="E51" s="2220"/>
      <c r="F51" s="2220"/>
      <c r="G51" s="2220"/>
      <c r="H51" s="2220"/>
      <c r="I51" s="2222"/>
      <c r="J51" s="2221" t="str">
        <f>S49&amp;".1"</f>
        <v>.1</v>
      </c>
      <c r="K51" s="1270"/>
      <c r="L51" s="1273"/>
      <c r="M51" s="447"/>
      <c r="N51" s="447"/>
      <c r="O51" s="447"/>
      <c r="P51" s="2223"/>
      <c r="Q51" s="2223">
        <v>1</v>
      </c>
      <c r="R51" s="294"/>
      <c r="S51" s="972"/>
      <c r="T51" s="1326"/>
      <c r="U51" s="1311"/>
      <c r="V51" s="2251"/>
      <c r="W51" s="2251"/>
      <c r="X51" s="2251"/>
      <c r="Y51" s="2251"/>
      <c r="Z51" s="2251"/>
      <c r="AA51" s="2251"/>
      <c r="AB51" s="2251"/>
      <c r="AC51" s="2252"/>
      <c r="AD51" s="2250"/>
      <c r="AE51" s="2251"/>
      <c r="AF51" s="2251"/>
      <c r="AG51" s="2251"/>
      <c r="AH51" s="2251"/>
      <c r="AI51" s="2251"/>
      <c r="AJ51" s="2251"/>
      <c r="AK51" s="2251"/>
      <c r="AL51" s="2251"/>
      <c r="AM51" s="2251"/>
      <c r="AN51" s="2302"/>
      <c r="AO51" s="2302"/>
      <c r="AP51" s="2251"/>
      <c r="AQ51" s="2251"/>
      <c r="AR51" s="2251"/>
      <c r="AS51" s="2251"/>
      <c r="AT51" s="2251"/>
      <c r="AU51" s="2251"/>
      <c r="AV51" s="2251"/>
      <c r="AW51" s="2251"/>
      <c r="AX51" s="2251"/>
      <c r="AY51" s="2251"/>
      <c r="AZ51" s="2251"/>
      <c r="BA51" s="2251"/>
      <c r="BB51" s="2252"/>
      <c r="BC51" s="1312"/>
      <c r="BE51" s="437"/>
      <c r="BF51" s="437" t="str">
        <f t="shared" si="3"/>
        <v/>
      </c>
      <c r="BG51" s="437"/>
      <c r="BH51" s="437"/>
      <c r="BI51" s="448">
        <v>0</v>
      </c>
    </row>
    <row r="52" spans="1:61" ht="11.45" customHeight="1">
      <c r="A52" s="1290" t="s">
        <v>278</v>
      </c>
      <c r="B52" s="1290" t="s">
        <v>279</v>
      </c>
      <c r="C52" s="1290" t="s">
        <v>280</v>
      </c>
      <c r="D52" s="1290" t="s">
        <v>531</v>
      </c>
      <c r="E52" s="2220"/>
      <c r="F52" s="2220"/>
      <c r="G52" s="2220"/>
      <c r="H52" s="2220"/>
      <c r="I52" s="2222"/>
      <c r="J52" s="2222"/>
      <c r="K52" s="2221" t="str">
        <f>S48&amp;".1"</f>
        <v>...1</v>
      </c>
      <c r="L52" s="1291"/>
      <c r="P52" s="2223"/>
      <c r="Q52" s="2223"/>
      <c r="R52" s="294">
        <v>1</v>
      </c>
      <c r="S52" s="2276" t="str">
        <f>$K52</f>
        <v>...1</v>
      </c>
      <c r="T52" s="2296"/>
      <c r="U52" s="237"/>
      <c r="V52" s="688"/>
      <c r="W52" s="1184"/>
      <c r="X52" s="688"/>
      <c r="Y52" s="1184"/>
      <c r="Z52" s="1661"/>
      <c r="AA52" s="1396" t="s">
        <v>65</v>
      </c>
      <c r="AB52" s="1661"/>
      <c r="AC52" s="1396" t="s">
        <v>65</v>
      </c>
      <c r="AD52" s="2163" t="s">
        <v>65</v>
      </c>
      <c r="AE52" s="2272"/>
      <c r="AF52" s="2176">
        <v>1</v>
      </c>
      <c r="AG52" s="2295"/>
      <c r="AH52" s="2102" t="s">
        <v>65</v>
      </c>
      <c r="AI52" s="2272"/>
      <c r="AJ52" s="2176">
        <v>1</v>
      </c>
      <c r="AK52" s="2286" t="s">
        <v>22</v>
      </c>
      <c r="AL52" s="2102" t="s">
        <v>65</v>
      </c>
      <c r="AM52" s="2151"/>
      <c r="AN52" s="2176">
        <v>1</v>
      </c>
      <c r="AO52" s="2299"/>
      <c r="AP52" s="2300" t="s">
        <v>65</v>
      </c>
      <c r="AQ52" s="248"/>
      <c r="AR52" s="1413">
        <v>1</v>
      </c>
      <c r="AS52" s="1419" t="s">
        <v>22</v>
      </c>
      <c r="AT52" s="688"/>
      <c r="AU52" s="1184"/>
      <c r="AV52" s="688"/>
      <c r="AW52" s="1184"/>
      <c r="AX52" s="1661"/>
      <c r="AY52" s="1396" t="s">
        <v>65</v>
      </c>
      <c r="AZ52" s="1661"/>
      <c r="BA52" s="1396" t="s">
        <v>65</v>
      </c>
      <c r="BB52" s="1275"/>
      <c r="BC52" s="2242" t="s">
        <v>503</v>
      </c>
      <c r="BE52" s="437"/>
      <c r="BF52" s="437" t="str">
        <f t="shared" si="3"/>
        <v/>
      </c>
      <c r="BG52" s="437"/>
      <c r="BH52" s="437"/>
      <c r="BI52" s="1082">
        <v>11</v>
      </c>
    </row>
    <row r="53" spans="1:61" ht="11.45" customHeight="1">
      <c r="A53" s="1290"/>
      <c r="B53" s="1290"/>
      <c r="C53" s="1290"/>
      <c r="D53" s="1290"/>
      <c r="E53" s="2220"/>
      <c r="F53" s="2220"/>
      <c r="G53" s="2220"/>
      <c r="H53" s="2220"/>
      <c r="I53" s="2222"/>
      <c r="J53" s="2222"/>
      <c r="K53" s="2221"/>
      <c r="L53" s="1291"/>
      <c r="P53" s="2223"/>
      <c r="Q53" s="2223"/>
      <c r="R53" s="294"/>
      <c r="S53" s="2277"/>
      <c r="T53" s="2297"/>
      <c r="U53" s="237"/>
      <c r="V53" s="1320"/>
      <c r="W53" s="1423"/>
      <c r="X53" s="1320"/>
      <c r="Y53" s="1423"/>
      <c r="Z53" s="1320"/>
      <c r="AA53" s="1320"/>
      <c r="AB53" s="1320"/>
      <c r="AC53" s="1320"/>
      <c r="AD53" s="2164"/>
      <c r="AE53" s="2272"/>
      <c r="AF53" s="2176"/>
      <c r="AG53" s="2295"/>
      <c r="AH53" s="2102"/>
      <c r="AI53" s="2272"/>
      <c r="AJ53" s="2176"/>
      <c r="AK53" s="2286"/>
      <c r="AL53" s="2102"/>
      <c r="AM53" s="2156"/>
      <c r="AN53" s="2176"/>
      <c r="AO53" s="2299"/>
      <c r="AP53" s="2301"/>
      <c r="AQ53" s="253"/>
      <c r="AR53" s="353"/>
      <c r="AS53" s="353" t="s">
        <v>504</v>
      </c>
      <c r="AT53" s="1320"/>
      <c r="AU53" s="1423"/>
      <c r="AV53" s="1320"/>
      <c r="AW53" s="1423"/>
      <c r="AX53" s="1320"/>
      <c r="AY53" s="1320"/>
      <c r="AZ53" s="1320"/>
      <c r="BA53" s="1320"/>
      <c r="BB53" s="1324"/>
      <c r="BC53" s="2243"/>
      <c r="BE53" s="437"/>
      <c r="BF53" s="437"/>
      <c r="BG53" s="437"/>
      <c r="BH53" s="437"/>
      <c r="BI53" s="1082">
        <v>11</v>
      </c>
    </row>
    <row r="54" spans="1:61" ht="11.45" customHeight="1">
      <c r="A54" s="1290" t="s">
        <v>278</v>
      </c>
      <c r="B54" s="1290"/>
      <c r="C54" s="1290"/>
      <c r="D54" s="1290"/>
      <c r="E54" s="2220"/>
      <c r="F54" s="2220"/>
      <c r="G54" s="2220"/>
      <c r="H54" s="2220"/>
      <c r="I54" s="2222"/>
      <c r="J54" s="2222"/>
      <c r="K54" s="2221"/>
      <c r="L54" s="1291"/>
      <c r="P54" s="2223"/>
      <c r="Q54" s="2223"/>
      <c r="R54" s="294"/>
      <c r="S54" s="2277"/>
      <c r="T54" s="2297"/>
      <c r="U54" s="237"/>
      <c r="V54" s="1320"/>
      <c r="W54" s="1423"/>
      <c r="X54" s="1320"/>
      <c r="Y54" s="1423"/>
      <c r="Z54" s="1320"/>
      <c r="AA54" s="1320"/>
      <c r="AB54" s="1320"/>
      <c r="AC54" s="1320"/>
      <c r="AD54" s="2164"/>
      <c r="AE54" s="2272"/>
      <c r="AF54" s="2176"/>
      <c r="AG54" s="2295"/>
      <c r="AH54" s="2102"/>
      <c r="AI54" s="2272"/>
      <c r="AJ54" s="2176"/>
      <c r="AK54" s="2286"/>
      <c r="AL54" s="2102"/>
      <c r="AM54" s="253"/>
      <c r="AN54" s="1427"/>
      <c r="AO54" s="1427" t="s">
        <v>524</v>
      </c>
      <c r="AP54" s="353"/>
      <c r="AQ54" s="353"/>
      <c r="AR54" s="353"/>
      <c r="AS54" s="1320"/>
      <c r="AT54" s="1320"/>
      <c r="AU54" s="1423"/>
      <c r="AV54" s="1320"/>
      <c r="AW54" s="1423"/>
      <c r="AX54" s="1320"/>
      <c r="AY54" s="1320"/>
      <c r="AZ54" s="1320"/>
      <c r="BA54" s="1320"/>
      <c r="BB54" s="1324"/>
      <c r="BC54" s="2243"/>
      <c r="BE54" s="437"/>
      <c r="BF54" s="437"/>
      <c r="BG54" s="437"/>
      <c r="BH54" s="437"/>
      <c r="BI54" s="1082">
        <v>11</v>
      </c>
    </row>
    <row r="55" spans="1:61" ht="11.45" customHeight="1">
      <c r="A55" s="1290" t="s">
        <v>278</v>
      </c>
      <c r="B55" s="1290"/>
      <c r="C55" s="1290"/>
      <c r="D55" s="1290"/>
      <c r="E55" s="2220"/>
      <c r="F55" s="2220"/>
      <c r="G55" s="2220"/>
      <c r="H55" s="2220"/>
      <c r="I55" s="2222"/>
      <c r="J55" s="2222"/>
      <c r="K55" s="2221"/>
      <c r="L55" s="1291"/>
      <c r="P55" s="2223"/>
      <c r="Q55" s="2223"/>
      <c r="R55" s="294"/>
      <c r="S55" s="2277"/>
      <c r="T55" s="2297"/>
      <c r="U55" s="237"/>
      <c r="V55" s="1320"/>
      <c r="W55" s="1423"/>
      <c r="X55" s="1320"/>
      <c r="Y55" s="1423"/>
      <c r="Z55" s="1320"/>
      <c r="AA55" s="1320"/>
      <c r="AB55" s="1320"/>
      <c r="AC55" s="1320"/>
      <c r="AD55" s="2164"/>
      <c r="AE55" s="2272"/>
      <c r="AF55" s="2176"/>
      <c r="AG55" s="2295"/>
      <c r="AH55" s="2102"/>
      <c r="AI55" s="231"/>
      <c r="AJ55" s="352"/>
      <c r="AK55" s="250" t="s">
        <v>525</v>
      </c>
      <c r="AL55" s="1320"/>
      <c r="AM55" s="1320"/>
      <c r="AN55" s="1320"/>
      <c r="AO55" s="1320"/>
      <c r="AP55" s="1320"/>
      <c r="AQ55" s="1320"/>
      <c r="AR55" s="1320"/>
      <c r="AS55" s="1320"/>
      <c r="AT55" s="1320"/>
      <c r="AU55" s="1423"/>
      <c r="AV55" s="1320"/>
      <c r="AW55" s="1423"/>
      <c r="AX55" s="1320"/>
      <c r="AY55" s="1320"/>
      <c r="AZ55" s="1320"/>
      <c r="BA55" s="1320"/>
      <c r="BB55" s="1324"/>
      <c r="BC55" s="2243"/>
      <c r="BE55" s="437"/>
      <c r="BF55" s="437"/>
      <c r="BG55" s="437"/>
      <c r="BH55" s="437"/>
      <c r="BI55" s="1082">
        <v>11</v>
      </c>
    </row>
    <row r="56" spans="1:61" ht="11.45" customHeight="1">
      <c r="A56" s="1290" t="s">
        <v>278</v>
      </c>
      <c r="B56" s="1290" t="s">
        <v>279</v>
      </c>
      <c r="C56" s="1290" t="s">
        <v>280</v>
      </c>
      <c r="D56" s="1290" t="s">
        <v>531</v>
      </c>
      <c r="E56" s="2220"/>
      <c r="F56" s="2220"/>
      <c r="G56" s="2220"/>
      <c r="H56" s="2220"/>
      <c r="I56" s="2222"/>
      <c r="J56" s="2222"/>
      <c r="K56" s="2221"/>
      <c r="L56" s="1291"/>
      <c r="P56" s="2223"/>
      <c r="Q56" s="2223"/>
      <c r="R56" s="294"/>
      <c r="S56" s="2278"/>
      <c r="T56" s="2298"/>
      <c r="U56" s="237"/>
      <c r="V56" s="1320"/>
      <c r="W56" s="1321" t="str">
        <f>Z52&amp;"-"&amp;AB52</f>
        <v>-</v>
      </c>
      <c r="X56" s="1320"/>
      <c r="Y56" s="1321" t="str">
        <f>AB52&amp;"-"&amp;AD52</f>
        <v>-да</v>
      </c>
      <c r="Z56" s="1320"/>
      <c r="AA56" s="1320"/>
      <c r="AB56" s="1320"/>
      <c r="AC56" s="1320"/>
      <c r="AD56" s="2107"/>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3"/>
      <c r="BE56" s="437"/>
      <c r="BF56" s="437" t="str">
        <f t="shared" ref="BF56:BF63" si="4">IF(T56="","",T56)</f>
        <v/>
      </c>
      <c r="BG56" s="437"/>
      <c r="BH56" s="437"/>
      <c r="BI56" s="1082">
        <v>11</v>
      </c>
    </row>
    <row r="57" spans="1:61" ht="11.45" customHeight="1">
      <c r="A57" s="1290" t="s">
        <v>278</v>
      </c>
      <c r="B57" s="1290" t="s">
        <v>279</v>
      </c>
      <c r="C57" s="1290" t="s">
        <v>280</v>
      </c>
      <c r="D57" s="1290" t="s">
        <v>531</v>
      </c>
      <c r="E57" s="2220"/>
      <c r="F57" s="2220"/>
      <c r="G57" s="2220"/>
      <c r="H57" s="2220"/>
      <c r="I57" s="2222"/>
      <c r="J57" s="2221"/>
      <c r="K57" s="1290"/>
      <c r="L57" s="1291"/>
      <c r="P57" s="2223"/>
      <c r="Q57" s="2223"/>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4"/>
      <c r="BE57" s="437"/>
      <c r="BF57" s="437" t="str">
        <f t="shared" si="4"/>
        <v>Добавить строку</v>
      </c>
      <c r="BG57" s="437"/>
      <c r="BH57" s="437"/>
      <c r="BI57" s="1082">
        <v>11</v>
      </c>
    </row>
    <row r="58" spans="1:61" s="1569" customFormat="1" ht="0" hidden="1" customHeight="1">
      <c r="A58" s="1270" t="s">
        <v>278</v>
      </c>
      <c r="B58" s="1270" t="s">
        <v>279</v>
      </c>
      <c r="C58" s="1270" t="s">
        <v>280</v>
      </c>
      <c r="D58" s="1270" t="s">
        <v>531</v>
      </c>
      <c r="E58" s="2220"/>
      <c r="F58" s="2220"/>
      <c r="G58" s="2220"/>
      <c r="H58" s="2220"/>
      <c r="I58" s="2221"/>
      <c r="J58" s="1270"/>
      <c r="K58" s="1270"/>
      <c r="L58" s="1273"/>
      <c r="M58" s="447"/>
      <c r="N58" s="447"/>
      <c r="O58" s="447"/>
      <c r="P58" s="222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278</v>
      </c>
      <c r="B59" s="1270" t="s">
        <v>279</v>
      </c>
      <c r="C59" s="1270" t="s">
        <v>280</v>
      </c>
      <c r="D59" s="1270" t="s">
        <v>531</v>
      </c>
      <c r="E59" s="2220"/>
      <c r="F59" s="2220"/>
      <c r="G59" s="2220"/>
      <c r="H59" s="221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278</v>
      </c>
      <c r="B60" s="1270" t="s">
        <v>279</v>
      </c>
      <c r="C60" s="1270" t="s">
        <v>280</v>
      </c>
      <c r="D60" s="1241"/>
      <c r="E60" s="2220"/>
      <c r="F60" s="2220"/>
      <c r="G60" s="221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278</v>
      </c>
      <c r="B61" s="1270" t="s">
        <v>279</v>
      </c>
      <c r="C61" s="1241"/>
      <c r="D61" s="1241"/>
      <c r="E61" s="2220"/>
      <c r="F61" s="2219"/>
      <c r="G61" s="1241"/>
      <c r="H61" s="1241"/>
      <c r="I61" s="1241"/>
      <c r="J61" s="1241"/>
      <c r="K61" s="1241"/>
      <c r="L61" s="1421"/>
      <c r="M61" s="1248"/>
      <c r="N61" s="1248"/>
      <c r="P61" s="1243"/>
      <c r="Q61" s="1244"/>
      <c r="R61" s="1243"/>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278</v>
      </c>
      <c r="B62" s="1270"/>
      <c r="C62" s="1270"/>
      <c r="D62" s="1270"/>
      <c r="E62" s="2219"/>
      <c r="F62" s="1270"/>
      <c r="G62" s="1270"/>
      <c r="H62" s="1270"/>
      <c r="I62" s="1270"/>
      <c r="J62" s="1270"/>
      <c r="K62" s="1270"/>
      <c r="L62" s="1273"/>
      <c r="M62" s="1248"/>
      <c r="N62" s="1248"/>
      <c r="O62" s="455"/>
      <c r="P62" s="317"/>
      <c r="Q62" s="1271"/>
      <c r="R62" s="317"/>
      <c r="S62" s="1249"/>
      <c r="T62" s="1252" t="s">
        <v>418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c r="AS65" s="2218"/>
      <c r="AT65" s="2218"/>
      <c r="AU65" s="2218"/>
      <c r="AV65" s="2218"/>
      <c r="AW65" s="2218"/>
      <c r="AX65" s="2218"/>
      <c r="AY65" s="2218"/>
      <c r="AZ65" s="2218"/>
      <c r="BA65" s="2218"/>
      <c r="BB65" s="2218"/>
      <c r="BC65" s="221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c r="AS67" s="2218"/>
      <c r="AT67" s="2218"/>
      <c r="AU67" s="2218"/>
      <c r="AV67" s="2218"/>
      <c r="AW67" s="2218"/>
      <c r="AX67" s="2218"/>
      <c r="AY67" s="2218"/>
      <c r="AZ67" s="2218"/>
      <c r="BA67" s="2218"/>
      <c r="BB67" s="2218"/>
      <c r="BC67" s="2218"/>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77" t="str">
        <f>NameTemplatesInListMO</f>
        <v>Перечень муниципальных районов и муниципальных образований (территорий действия тарифа)</v>
      </c>
      <c r="F4" s="2077"/>
      <c r="G4" s="2077"/>
      <c r="H4" s="2077"/>
      <c r="I4" s="2077"/>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73" t="s">
        <v>85</v>
      </c>
      <c r="F8" s="2078"/>
      <c r="G8" s="2072"/>
      <c r="H8" s="2079" t="s">
        <v>86</v>
      </c>
      <c r="I8" s="2079"/>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76">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76"/>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городской округ город Михайловка(18720000)</v>
      </c>
      <c r="P13" s="354"/>
      <c r="Q13" s="354"/>
      <c r="R13" s="357"/>
      <c r="S13" s="354"/>
      <c r="T13" s="354"/>
      <c r="U13" s="354"/>
      <c r="V13" s="359"/>
      <c r="W13" s="359"/>
      <c r="X13" s="356"/>
      <c r="Y13" s="356"/>
      <c r="Z13" s="356"/>
      <c r="AA13" s="356"/>
      <c r="AB13" s="356"/>
      <c r="AC13" s="360">
        <v>15</v>
      </c>
    </row>
    <row r="14" spans="1:29" s="1776" customFormat="1" ht="15.75" customHeight="1">
      <c r="A14" s="2076"/>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19">
        <v>1</v>
      </c>
      <c r="F2" s="1290"/>
      <c r="G2" s="1290"/>
      <c r="H2" s="1290"/>
      <c r="I2" s="1290"/>
      <c r="J2" s="1290"/>
      <c r="K2" s="1290"/>
      <c r="L2" s="1291"/>
      <c r="M2" s="1292"/>
      <c r="N2" s="1292"/>
      <c r="O2" s="1292"/>
      <c r="P2" s="298"/>
      <c r="Q2" s="297"/>
      <c r="R2" s="292"/>
      <c r="S2" s="1420" t="e">
        <f>INDEX(PT_DIFFERENTIATION_NUM_NTAR,MATCH(A2,PT_DIFFERENTIATION_NTAR_ID,0))</f>
        <v>#N/A</v>
      </c>
      <c r="T2" s="235" t="s">
        <v>127</v>
      </c>
      <c r="U2" s="237"/>
      <c r="V2" s="2213"/>
      <c r="W2" s="2214"/>
      <c r="X2" s="2214"/>
      <c r="Y2" s="2214"/>
      <c r="Z2" s="2214"/>
      <c r="AA2" s="2214"/>
      <c r="AB2" s="2214"/>
      <c r="AC2" s="2214"/>
      <c r="AD2" s="2214"/>
      <c r="AE2" s="2214"/>
      <c r="AF2" s="2215"/>
      <c r="AG2" s="2213" t="e">
        <f>INDEX(PT_DIFFERENTIATION_NTAR,MATCH(A2,PT_DIFFERENTIATION_NTAR_ID,0))</f>
        <v>#N/A</v>
      </c>
      <c r="AH2" s="2214"/>
      <c r="AI2" s="2214"/>
      <c r="AJ2" s="2214"/>
      <c r="AK2" s="2214"/>
      <c r="AL2" s="2214"/>
      <c r="AM2" s="2214"/>
      <c r="AN2" s="2214"/>
      <c r="AO2" s="2214"/>
      <c r="AP2" s="2214"/>
      <c r="AQ2" s="2214"/>
      <c r="AR2" s="221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0"/>
      <c r="F3" s="2219">
        <v>1</v>
      </c>
      <c r="G3" s="1290"/>
      <c r="H3" s="1290"/>
      <c r="I3" s="1290"/>
      <c r="J3" s="1290"/>
      <c r="K3" s="1290"/>
      <c r="L3" s="1291"/>
      <c r="M3" s="1292"/>
      <c r="N3" s="1292"/>
      <c r="O3" s="1292"/>
      <c r="P3" s="1414"/>
      <c r="Q3" s="289"/>
      <c r="R3" s="290"/>
      <c r="S3" s="1420" t="e">
        <f>INDEX(PT_DIFFERENTIATION_NUM_TER,MATCH(B3,PT_DIFFERENTIATION_TER_ID,0))</f>
        <v>#N/A</v>
      </c>
      <c r="T3" s="245" t="s">
        <v>399</v>
      </c>
      <c r="U3" s="237"/>
      <c r="V3" s="2213"/>
      <c r="W3" s="2214"/>
      <c r="X3" s="2214"/>
      <c r="Y3" s="2214"/>
      <c r="Z3" s="2214"/>
      <c r="AA3" s="2214"/>
      <c r="AB3" s="2214"/>
      <c r="AC3" s="2214"/>
      <c r="AD3" s="2214"/>
      <c r="AE3" s="2214"/>
      <c r="AF3" s="2215"/>
      <c r="AG3" s="2213" t="e">
        <f>INDEX(PT_DIFFERENTIATION_TER,MATCH(B3,PT_DIFFERENTIATION_TER_ID,0))</f>
        <v>#N/A</v>
      </c>
      <c r="AH3" s="2214"/>
      <c r="AI3" s="2214"/>
      <c r="AJ3" s="2214"/>
      <c r="AK3" s="2214"/>
      <c r="AL3" s="2214"/>
      <c r="AM3" s="2214"/>
      <c r="AN3" s="2214"/>
      <c r="AO3" s="2214"/>
      <c r="AP3" s="2214"/>
      <c r="AQ3" s="2214"/>
      <c r="AR3" s="2215"/>
      <c r="AS3" s="1185" t="s">
        <v>400</v>
      </c>
      <c r="AU3" s="437"/>
      <c r="AV3" s="437" t="str">
        <f t="shared" si="0"/>
        <v>Территория действия тарифа</v>
      </c>
      <c r="AW3" s="437"/>
      <c r="AX3" s="437"/>
      <c r="AY3" s="1082">
        <v>0</v>
      </c>
    </row>
    <row r="4" spans="1:51" ht="23.25" hidden="1" customHeight="1">
      <c r="A4" s="1290"/>
      <c r="B4" s="1290"/>
      <c r="C4" s="1290"/>
      <c r="D4" s="1290"/>
      <c r="E4" s="2220"/>
      <c r="F4" s="2220"/>
      <c r="G4" s="2219">
        <v>1</v>
      </c>
      <c r="H4" s="1290"/>
      <c r="I4" s="1290"/>
      <c r="J4" s="1290"/>
      <c r="K4" s="1290"/>
      <c r="L4" s="1291"/>
      <c r="M4" s="1292"/>
      <c r="N4" s="1292"/>
      <c r="O4" s="1292"/>
      <c r="P4" s="291"/>
      <c r="Q4" s="289"/>
      <c r="R4" s="290"/>
      <c r="S4" s="1420" t="e">
        <f>INDEX(PT_DIFFERENTIATION_NUM_CS,MATCH(C4,PT_DIFFERENTIATION_CS_ID,0))</f>
        <v>#N/A</v>
      </c>
      <c r="T4" s="246" t="s">
        <v>532</v>
      </c>
      <c r="U4" s="237"/>
      <c r="V4" s="2213"/>
      <c r="W4" s="2214"/>
      <c r="X4" s="2214"/>
      <c r="Y4" s="2214"/>
      <c r="Z4" s="2214"/>
      <c r="AA4" s="2214"/>
      <c r="AB4" s="2214"/>
      <c r="AC4" s="2214"/>
      <c r="AD4" s="2214"/>
      <c r="AE4" s="2214"/>
      <c r="AF4" s="2215"/>
      <c r="AG4" s="2213" t="e">
        <f>INDEX(PT_DIFFERENTIATION_CS,MATCH(C4,PT_DIFFERENTIATION_CS_ID,0))</f>
        <v>#N/A</v>
      </c>
      <c r="AH4" s="2214"/>
      <c r="AI4" s="2214"/>
      <c r="AJ4" s="2214"/>
      <c r="AK4" s="2214"/>
      <c r="AL4" s="2214"/>
      <c r="AM4" s="2214"/>
      <c r="AN4" s="2214"/>
      <c r="AO4" s="2214"/>
      <c r="AP4" s="2214"/>
      <c r="AQ4" s="2214"/>
      <c r="AR4" s="2215"/>
      <c r="AS4" s="1185" t="s">
        <v>533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0"/>
      <c r="F5" s="2220"/>
      <c r="G5" s="2220"/>
      <c r="H5" s="2220"/>
      <c r="I5" s="2221" t="e">
        <f>S4&amp;".1"</f>
        <v>#N/A</v>
      </c>
      <c r="J5" s="1290"/>
      <c r="K5" s="1290"/>
      <c r="L5" s="1291"/>
      <c r="P5" s="2223">
        <v>1</v>
      </c>
      <c r="Q5" s="1408"/>
      <c r="R5" s="293"/>
      <c r="S5" s="1420" t="e">
        <f>$I5</f>
        <v>#N/A</v>
      </c>
      <c r="T5" s="222" t="s">
        <v>485</v>
      </c>
      <c r="U5" s="237"/>
      <c r="V5" s="2287"/>
      <c r="W5" s="2288"/>
      <c r="X5" s="2288"/>
      <c r="Y5" s="2288"/>
      <c r="Z5" s="2288"/>
      <c r="AA5" s="2288"/>
      <c r="AB5" s="2288"/>
      <c r="AC5" s="2288"/>
      <c r="AD5" s="2288"/>
      <c r="AE5" s="2288"/>
      <c r="AF5" s="2289"/>
      <c r="AG5" s="2290"/>
      <c r="AH5" s="2291"/>
      <c r="AI5" s="2291"/>
      <c r="AJ5" s="2291"/>
      <c r="AK5" s="2291"/>
      <c r="AL5" s="2291"/>
      <c r="AM5" s="2291"/>
      <c r="AN5" s="2291"/>
      <c r="AO5" s="2291"/>
      <c r="AP5" s="2291"/>
      <c r="AQ5" s="2291"/>
      <c r="AR5" s="2292"/>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20"/>
      <c r="F6" s="2220"/>
      <c r="G6" s="2220"/>
      <c r="H6" s="2220"/>
      <c r="I6" s="2222"/>
      <c r="J6" s="2221" t="e">
        <f>I5&amp;".1"</f>
        <v>#N/A</v>
      </c>
      <c r="K6" s="1290"/>
      <c r="L6" s="1291" t="s">
        <v>408</v>
      </c>
      <c r="P6" s="2223"/>
      <c r="Q6" s="2223">
        <v>1</v>
      </c>
      <c r="R6" s="294"/>
      <c r="S6" s="1420" t="e">
        <f>$J6</f>
        <v>#N/A</v>
      </c>
      <c r="T6" s="223" t="s">
        <v>409</v>
      </c>
      <c r="U6" s="237"/>
      <c r="V6" s="2207"/>
      <c r="W6" s="2208"/>
      <c r="X6" s="2208"/>
      <c r="Y6" s="2208"/>
      <c r="Z6" s="2208"/>
      <c r="AA6" s="2208"/>
      <c r="AB6" s="2208"/>
      <c r="AC6" s="2208"/>
      <c r="AD6" s="2208"/>
      <c r="AE6" s="2208"/>
      <c r="AF6" s="2209"/>
      <c r="AG6" s="2207"/>
      <c r="AH6" s="2208"/>
      <c r="AI6" s="2208"/>
      <c r="AJ6" s="2208"/>
      <c r="AK6" s="2208"/>
      <c r="AL6" s="2208"/>
      <c r="AM6" s="2208"/>
      <c r="AN6" s="2208"/>
      <c r="AO6" s="2208"/>
      <c r="AP6" s="2208"/>
      <c r="AQ6" s="2208"/>
      <c r="AR6" s="2209"/>
      <c r="AS6" s="1234" t="s">
        <v>487</v>
      </c>
      <c r="AU6" s="437"/>
      <c r="AV6" s="437" t="str">
        <f t="shared" si="0"/>
        <v>Группа потребителей</v>
      </c>
      <c r="AW6" s="437"/>
      <c r="AX6" s="437"/>
      <c r="AY6" s="1082">
        <v>0</v>
      </c>
    </row>
    <row r="7" spans="1:51" ht="23.25" hidden="1" customHeight="1">
      <c r="A7" s="1290"/>
      <c r="B7" s="1290"/>
      <c r="C7" s="1290"/>
      <c r="D7" s="1290"/>
      <c r="E7" s="2220"/>
      <c r="F7" s="2220"/>
      <c r="G7" s="2220"/>
      <c r="H7" s="2220"/>
      <c r="I7" s="2222"/>
      <c r="J7" s="2222"/>
      <c r="K7" s="2221" t="e">
        <f>J6&amp;".1"</f>
        <v>#N/A</v>
      </c>
      <c r="L7" s="1291"/>
      <c r="P7" s="2223"/>
      <c r="Q7" s="2223"/>
      <c r="R7" s="294">
        <v>1</v>
      </c>
      <c r="S7" s="1420" t="e">
        <f>$K7</f>
        <v>#N/A</v>
      </c>
      <c r="T7" s="1364"/>
      <c r="U7" s="237"/>
      <c r="V7" s="688"/>
      <c r="W7" s="688"/>
      <c r="X7" s="688"/>
      <c r="Y7" s="688"/>
      <c r="Z7" s="688"/>
      <c r="AA7" s="688"/>
      <c r="AB7" s="688"/>
      <c r="AC7" s="2224"/>
      <c r="AD7" s="2102" t="s">
        <v>65</v>
      </c>
      <c r="AE7" s="2224"/>
      <c r="AF7" s="2102" t="s">
        <v>65</v>
      </c>
      <c r="AG7" s="688"/>
      <c r="AH7" s="688"/>
      <c r="AI7" s="688"/>
      <c r="AJ7" s="688"/>
      <c r="AK7" s="688"/>
      <c r="AL7" s="688"/>
      <c r="AM7" s="688"/>
      <c r="AN7" s="2224"/>
      <c r="AO7" s="2102" t="s">
        <v>65</v>
      </c>
      <c r="AP7" s="2226"/>
      <c r="AQ7" s="2102" t="s">
        <v>65</v>
      </c>
      <c r="AR7" s="1365"/>
      <c r="AS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0"/>
      <c r="F8" s="2220"/>
      <c r="G8" s="2220"/>
      <c r="H8" s="2220"/>
      <c r="I8" s="2222"/>
      <c r="J8" s="2222"/>
      <c r="K8" s="2221"/>
      <c r="L8" s="1291"/>
      <c r="P8" s="2223"/>
      <c r="Q8" s="2223"/>
      <c r="R8" s="294"/>
      <c r="S8" s="1417"/>
      <c r="T8" s="237"/>
      <c r="U8" s="237"/>
      <c r="V8" s="262"/>
      <c r="W8" s="262"/>
      <c r="X8" s="262"/>
      <c r="Y8" s="262"/>
      <c r="Z8" s="262"/>
      <c r="AA8" s="262"/>
      <c r="AB8" s="262"/>
      <c r="AC8" s="2225"/>
      <c r="AD8" s="2102"/>
      <c r="AE8" s="2225"/>
      <c r="AF8" s="2102"/>
      <c r="AG8" s="262"/>
      <c r="AH8" s="262"/>
      <c r="AI8" s="262"/>
      <c r="AJ8" s="262"/>
      <c r="AK8" s="262"/>
      <c r="AL8" s="262"/>
      <c r="AM8" s="262"/>
      <c r="AN8" s="2225"/>
      <c r="AO8" s="2102"/>
      <c r="AP8" s="2227"/>
      <c r="AQ8" s="2102"/>
      <c r="AR8" s="1366"/>
      <c r="AS8" s="2293"/>
      <c r="AU8" s="437"/>
      <c r="AV8" s="437" t="str">
        <f t="shared" si="0"/>
        <v/>
      </c>
      <c r="AW8" s="437"/>
      <c r="AX8" s="437"/>
      <c r="AY8" s="1082">
        <v>0</v>
      </c>
    </row>
    <row r="9" spans="1:51" ht="21" hidden="1" customHeight="1">
      <c r="A9" s="1290"/>
      <c r="B9" s="1290"/>
      <c r="C9" s="1290"/>
      <c r="D9" s="1290"/>
      <c r="E9" s="2220"/>
      <c r="F9" s="2220"/>
      <c r="G9" s="2220"/>
      <c r="H9" s="2220"/>
      <c r="I9" s="2222"/>
      <c r="J9" s="2221"/>
      <c r="K9" s="1290"/>
      <c r="L9" s="1291"/>
      <c r="P9" s="2223"/>
      <c r="Q9" s="2223"/>
      <c r="R9" s="293"/>
      <c r="S9" s="1205"/>
      <c r="T9" s="224"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0"/>
      <c r="F10" s="2220"/>
      <c r="G10" s="2220"/>
      <c r="H10" s="2220"/>
      <c r="I10" s="2221"/>
      <c r="J10" s="1290"/>
      <c r="K10" s="1290"/>
      <c r="L10" s="1291"/>
      <c r="P10" s="2223"/>
      <c r="Q10" s="1408"/>
      <c r="R10" s="293"/>
      <c r="S10" s="1205"/>
      <c r="T10" s="302" t="s">
        <v>414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0"/>
      <c r="F11" s="2220"/>
      <c r="G11" s="2220"/>
      <c r="H11" s="2219"/>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0"/>
      <c r="F12" s="2219"/>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19"/>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17"/>
      <c r="AO15" s="2216" t="s">
        <v>65</v>
      </c>
      <c r="AP15" s="2217"/>
      <c r="AQ15" s="2216" t="s">
        <v>65</v>
      </c>
      <c r="AY15" s="1082">
        <v>0</v>
      </c>
    </row>
    <row r="16" spans="1:51" ht="14.25" hidden="1" customHeight="1">
      <c r="AG16" s="1287"/>
      <c r="AH16" s="1287"/>
      <c r="AI16" s="1287"/>
      <c r="AJ16" s="1287"/>
      <c r="AK16" s="1287"/>
      <c r="AL16" s="1287"/>
      <c r="AM16" s="1287"/>
      <c r="AN16" s="2216"/>
      <c r="AO16" s="2216"/>
      <c r="AP16" s="2216"/>
      <c r="AQ16" s="2216"/>
      <c r="AY16" s="1082">
        <v>0</v>
      </c>
    </row>
    <row r="17" spans="1:51" ht="14.25" hidden="1" customHeight="1">
      <c r="AQ17" s="264"/>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3" t="s">
        <v>422</v>
      </c>
      <c r="AF20" s="123" t="s">
        <v>423</v>
      </c>
      <c r="AG20" s="1087" t="s">
        <v>421</v>
      </c>
      <c r="AO20" s="123" t="s">
        <v>424</v>
      </c>
      <c r="AQ20" s="123"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0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1170"/>
      <c r="AY24" s="1082">
        <v>25</v>
      </c>
    </row>
    <row r="25" spans="1:51" ht="14.65" customHeight="1">
      <c r="Q25" s="313"/>
      <c r="R25" s="313"/>
      <c r="S25" s="2172" t="str">
        <f>IF(org=0,"Не определено",org)</f>
        <v>МУП "Михайловское водопроводно-канализационное хозяйство"</v>
      </c>
      <c r="T25" s="2172"/>
      <c r="U25" s="2172"/>
      <c r="V25" s="2172"/>
      <c r="W25" s="2172"/>
      <c r="X25" s="2172"/>
      <c r="Y25" s="2172"/>
      <c r="Z25" s="2172"/>
      <c r="AA25" s="2172"/>
      <c r="AB25" s="2172"/>
      <c r="AC25" s="2172"/>
      <c r="AD25" s="2172"/>
      <c r="AE25" s="2172"/>
      <c r="AF25" s="2172"/>
      <c r="AG25" s="2172"/>
      <c r="AH25" s="2172"/>
      <c r="AI25" s="2172"/>
      <c r="AJ25" s="2172"/>
      <c r="AK25" s="2172"/>
      <c r="AL25" s="2172"/>
      <c r="AM25" s="2172"/>
      <c r="AN25" s="2172"/>
      <c r="AO25" s="2172"/>
      <c r="AP25" s="2172"/>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10" t="s">
        <v>42</v>
      </c>
      <c r="T27" s="2210"/>
      <c r="U27" s="1299"/>
      <c r="V27" s="2212" t="str">
        <f>IF(TITLE_NAME_OR_PR_CHANGE="",IF(TITLE_NAME_OR_PR="","",TITLE_NAME_OR_PR),TITLE_NAME_OR_PR_CHANGE)</f>
        <v/>
      </c>
      <c r="W27" s="2212"/>
      <c r="X27" s="2212"/>
      <c r="Y27" s="2212"/>
      <c r="Z27" s="2212"/>
      <c r="AA27" s="2212"/>
      <c r="AB27" s="2212"/>
      <c r="AC27" s="2212"/>
      <c r="AD27" s="2212"/>
      <c r="AE27" s="2212"/>
      <c r="AF27" s="263"/>
      <c r="AG27" s="2212" t="str">
        <f>IF(TITLE_NAME_OR_PR_CHANGE="",IF(TITLE_NAME_OR_PR="","",TITLE_NAME_OR_PR),TITLE_NAME_OR_PR_CHANGE)</f>
        <v/>
      </c>
      <c r="AH27" s="2212"/>
      <c r="AI27" s="2212"/>
      <c r="AJ27" s="2212"/>
      <c r="AK27" s="2212"/>
      <c r="AL27" s="2212"/>
      <c r="AM27" s="2212"/>
      <c r="AN27" s="2212"/>
      <c r="AO27" s="2212"/>
      <c r="AP27" s="2212"/>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10" t="s">
        <v>425</v>
      </c>
      <c r="T28" s="2210"/>
      <c r="U28" s="1299"/>
      <c r="V28" s="2211" t="str">
        <f>IF(TITLE_DATE_PR_CHANGE="",IF(TITLE_DATE_PR="","",TITLE_DATE_PR),TITLE_DATE_PR_CHANGE)</f>
        <v/>
      </c>
      <c r="W28" s="2211"/>
      <c r="X28" s="2211"/>
      <c r="Y28" s="2211"/>
      <c r="Z28" s="2211"/>
      <c r="AA28" s="2211"/>
      <c r="AB28" s="2211"/>
      <c r="AC28" s="2211"/>
      <c r="AD28" s="2211"/>
      <c r="AE28" s="2211"/>
      <c r="AF28" s="263"/>
      <c r="AG28" s="2211" t="str">
        <f>IF(TITLE_DATE_PR_CHANGE="",IF(TITLE_DATE_PR="","",TITLE_DATE_PR),TITLE_DATE_PR_CHANGE)</f>
        <v/>
      </c>
      <c r="AH28" s="2211"/>
      <c r="AI28" s="2211"/>
      <c r="AJ28" s="2211"/>
      <c r="AK28" s="2211"/>
      <c r="AL28" s="2211"/>
      <c r="AM28" s="2211"/>
      <c r="AN28" s="2211"/>
      <c r="AO28" s="2211"/>
      <c r="AP28" s="2211"/>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10" t="s">
        <v>426</v>
      </c>
      <c r="T29" s="2210"/>
      <c r="U29" s="1299"/>
      <c r="V29" s="2212" t="str">
        <f>IF(TITLE_NUMBER_PR_CHANGE="",IF(TITLE_NUMBER_PR="","",TITLE_NUMBER_PR),TITLE_NUMBER_PR_CHANGE)</f>
        <v/>
      </c>
      <c r="W29" s="2212"/>
      <c r="X29" s="2212"/>
      <c r="Y29" s="2212"/>
      <c r="Z29" s="2212"/>
      <c r="AA29" s="2212"/>
      <c r="AB29" s="2212"/>
      <c r="AC29" s="2212"/>
      <c r="AD29" s="2212"/>
      <c r="AE29" s="2212"/>
      <c r="AF29" s="263"/>
      <c r="AG29" s="2212" t="str">
        <f>IF(TITLE_NUMBER_PR_CHANGE="",IF(TITLE_NUMBER_PR="","",TITLE_NUMBER_PR),TITLE_NUMBER_PR_CHANGE)</f>
        <v/>
      </c>
      <c r="AH29" s="2212"/>
      <c r="AI29" s="2212"/>
      <c r="AJ29" s="2212"/>
      <c r="AK29" s="2212"/>
      <c r="AL29" s="2212"/>
      <c r="AM29" s="2212"/>
      <c r="AN29" s="2212"/>
      <c r="AO29" s="2212"/>
      <c r="AP29" s="2212"/>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10" t="s">
        <v>43</v>
      </c>
      <c r="T30" s="2210"/>
      <c r="U30" s="1299"/>
      <c r="V30" s="2212" t="str">
        <f>IF(TITLE_IST_PUB_CHANGE="",IF(TITLE_IST_PUB="","",TITLE_IST_PUB),TITLE_IST_PUB_CHANGE)</f>
        <v/>
      </c>
      <c r="W30" s="2212"/>
      <c r="X30" s="2212"/>
      <c r="Y30" s="2212"/>
      <c r="Z30" s="2212"/>
      <c r="AA30" s="2212"/>
      <c r="AB30" s="2212"/>
      <c r="AC30" s="2212"/>
      <c r="AD30" s="2212"/>
      <c r="AE30" s="2212"/>
      <c r="AF30" s="263"/>
      <c r="AG30" s="2212" t="str">
        <f>IF(TITLE_IST_PUB_CHANGE="",IF(TITLE_IST_PUB="","",TITLE_IST_PUB),TITLE_IST_PUB_CHANGE)</f>
        <v/>
      </c>
      <c r="AH30" s="2212"/>
      <c r="AI30" s="2212"/>
      <c r="AJ30" s="2212"/>
      <c r="AK30" s="2212"/>
      <c r="AL30" s="2212"/>
      <c r="AM30" s="2212"/>
      <c r="AN30" s="2212"/>
      <c r="AO30" s="2212"/>
      <c r="AP30" s="221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10" t="s">
        <v>427</v>
      </c>
      <c r="T32" s="2210"/>
      <c r="U32" s="1299"/>
      <c r="V32" s="2211" t="str">
        <f>IF(TITLE_DATE_PR_CHANGE="",IF(TITLE_DATE_PR="","",TITLE_DATE_PR),TITLE_DATE_PR_CHANGE)</f>
        <v/>
      </c>
      <c r="W32" s="2211"/>
      <c r="X32" s="2211"/>
      <c r="Y32" s="2211"/>
      <c r="Z32" s="2211"/>
      <c r="AA32" s="2211"/>
      <c r="AB32" s="2211"/>
      <c r="AC32" s="2211"/>
      <c r="AD32" s="2211"/>
      <c r="AE32" s="2211"/>
      <c r="AF32" s="263"/>
      <c r="AG32" s="2211" t="str">
        <f>IF(TITLE_DATE_PR_CHANGE="",IF(TITLE_DATE_PR="","",TITLE_DATE_PR),TITLE_DATE_PR_CHANGE)</f>
        <v/>
      </c>
      <c r="AH32" s="2211"/>
      <c r="AI32" s="2211"/>
      <c r="AJ32" s="2211"/>
      <c r="AK32" s="2211"/>
      <c r="AL32" s="2211"/>
      <c r="AM32" s="2211"/>
      <c r="AN32" s="2211"/>
      <c r="AO32" s="2211"/>
      <c r="AP32" s="221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10" t="s">
        <v>428</v>
      </c>
      <c r="T33" s="2210"/>
      <c r="U33" s="1299"/>
      <c r="V33" s="2212" t="str">
        <f>IF(TITLE_NUMBER_PR_CHANGE="",IF(TITLE_NUMBER_PR="","",TITLE_NUMBER_PR),TITLE_NUMBER_PR_CHANGE)</f>
        <v/>
      </c>
      <c r="W33" s="2212"/>
      <c r="X33" s="2212"/>
      <c r="Y33" s="2212"/>
      <c r="Z33" s="2212"/>
      <c r="AA33" s="2212"/>
      <c r="AB33" s="2212"/>
      <c r="AC33" s="2212"/>
      <c r="AD33" s="2212"/>
      <c r="AE33" s="2212"/>
      <c r="AF33" s="263"/>
      <c r="AG33" s="2212" t="str">
        <f>IF(TITLE_NUMBER_PR_CHANGE="",IF(TITLE_NUMBER_PR="","",TITLE_NUMBER_PR),TITLE_NUMBER_PR_CHANGE)</f>
        <v/>
      </c>
      <c r="AH33" s="2212"/>
      <c r="AI33" s="2212"/>
      <c r="AJ33" s="2212"/>
      <c r="AK33" s="2212"/>
      <c r="AL33" s="2212"/>
      <c r="AM33" s="2212"/>
      <c r="AN33" s="2212"/>
      <c r="AO33" s="2212"/>
      <c r="AP33" s="2212"/>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429</v>
      </c>
      <c r="AG34" s="263"/>
      <c r="AH34" s="1562"/>
      <c r="AI34" s="1562"/>
      <c r="AJ34" s="1562"/>
      <c r="AK34" s="1562"/>
      <c r="AL34" s="1562"/>
      <c r="AM34" s="263"/>
      <c r="AN34" s="263"/>
      <c r="AO34" s="263"/>
      <c r="AP34" s="263"/>
      <c r="AQ34" s="215" t="s">
        <v>429</v>
      </c>
      <c r="AT34" s="305"/>
      <c r="AU34" s="305"/>
      <c r="AV34" s="305"/>
      <c r="AW34" s="305"/>
      <c r="AX34" s="305"/>
      <c r="AY34" s="355">
        <v>1</v>
      </c>
    </row>
    <row r="35" spans="1:51" ht="14.65" customHeight="1">
      <c r="Q35" s="313"/>
      <c r="R35" s="313"/>
      <c r="S35" s="1202"/>
      <c r="T35" s="300"/>
      <c r="U35" s="1171"/>
      <c r="V35" s="2231"/>
      <c r="W35" s="2231"/>
      <c r="X35" s="2231"/>
      <c r="Y35" s="2231"/>
      <c r="Z35" s="2231"/>
      <c r="AA35" s="2231"/>
      <c r="AB35" s="2231"/>
      <c r="AC35" s="2231"/>
      <c r="AD35" s="2231"/>
      <c r="AE35" s="2231"/>
      <c r="AF35" s="2231"/>
      <c r="AG35" s="2231"/>
      <c r="AH35" s="2231"/>
      <c r="AI35" s="2231"/>
      <c r="AJ35" s="2231"/>
      <c r="AK35" s="2231"/>
      <c r="AL35" s="2231"/>
      <c r="AM35" s="2231"/>
      <c r="AN35" s="2231"/>
      <c r="AO35" s="2231"/>
      <c r="AP35" s="2231"/>
      <c r="AQ35" s="2231"/>
      <c r="AY35" s="1082">
        <v>14</v>
      </c>
    </row>
    <row r="36" spans="1:51" ht="14.65" customHeight="1">
      <c r="Q36" s="313"/>
      <c r="R36" s="313"/>
      <c r="S36" s="2091" t="s">
        <v>302</v>
      </c>
      <c r="T36" s="2091"/>
      <c r="U36" s="2091"/>
      <c r="V36" s="2091"/>
      <c r="W36" s="2091"/>
      <c r="X36" s="2091"/>
      <c r="Y36" s="2091"/>
      <c r="Z36" s="2091"/>
      <c r="AA36" s="2091"/>
      <c r="AB36" s="2091"/>
      <c r="AC36" s="2091"/>
      <c r="AD36" s="2091"/>
      <c r="AE36" s="2091"/>
      <c r="AF36" s="2091"/>
      <c r="AG36" s="2091"/>
      <c r="AH36" s="2091"/>
      <c r="AI36" s="2091"/>
      <c r="AJ36" s="2091"/>
      <c r="AK36" s="2091"/>
      <c r="AL36" s="2091"/>
      <c r="AM36" s="2091"/>
      <c r="AN36" s="2091"/>
      <c r="AO36" s="2091"/>
      <c r="AP36" s="2091"/>
      <c r="AQ36" s="2091"/>
      <c r="AR36" s="2091"/>
      <c r="AS36" s="2091" t="s">
        <v>303</v>
      </c>
      <c r="AY36" s="1082">
        <v>14</v>
      </c>
    </row>
    <row r="37" spans="1:51" ht="14.65" customHeight="1">
      <c r="Q37" s="313"/>
      <c r="R37" s="313"/>
      <c r="S37" s="2232" t="s">
        <v>87</v>
      </c>
      <c r="T37" s="2180" t="s">
        <v>430</v>
      </c>
      <c r="U37" s="238"/>
      <c r="V37" s="2233" t="s">
        <v>431</v>
      </c>
      <c r="W37" s="2249"/>
      <c r="X37" s="2249"/>
      <c r="Y37" s="2249"/>
      <c r="Z37" s="2249"/>
      <c r="AA37" s="2249"/>
      <c r="AB37" s="2249"/>
      <c r="AC37" s="2234"/>
      <c r="AD37" s="2234"/>
      <c r="AE37" s="2235"/>
      <c r="AF37" s="2236" t="s">
        <v>432</v>
      </c>
      <c r="AG37" s="2233" t="s">
        <v>431</v>
      </c>
      <c r="AH37" s="2234"/>
      <c r="AI37" s="2234"/>
      <c r="AJ37" s="2234"/>
      <c r="AK37" s="2234"/>
      <c r="AL37" s="2234"/>
      <c r="AM37" s="2234"/>
      <c r="AN37" s="2234"/>
      <c r="AO37" s="2234"/>
      <c r="AP37" s="2235"/>
      <c r="AQ37" s="2236" t="s">
        <v>433</v>
      </c>
      <c r="AR37" s="2239" t="s">
        <v>434</v>
      </c>
      <c r="AS37" s="2091"/>
      <c r="AY37" s="1082">
        <v>14</v>
      </c>
    </row>
    <row r="38" spans="1:51" ht="19.899999999999999" customHeight="1">
      <c r="Q38" s="313"/>
      <c r="R38" s="313"/>
      <c r="S38" s="2232"/>
      <c r="T38" s="2180"/>
      <c r="U38" s="961"/>
      <c r="V38" s="2091" t="s">
        <v>534</v>
      </c>
      <c r="W38" s="2303" t="s">
        <v>535</v>
      </c>
      <c r="X38" s="2303"/>
      <c r="Y38" s="2303"/>
      <c r="Z38" s="2303" t="s">
        <v>536</v>
      </c>
      <c r="AA38" s="2303"/>
      <c r="AB38" s="2303"/>
      <c r="AC38" s="2151" t="s">
        <v>438</v>
      </c>
      <c r="AD38" s="2261"/>
      <c r="AE38" s="2152"/>
      <c r="AF38" s="2237"/>
      <c r="AG38" s="2091" t="s">
        <v>534</v>
      </c>
      <c r="AH38" s="2303" t="s">
        <v>535</v>
      </c>
      <c r="AI38" s="2303"/>
      <c r="AJ38" s="2303"/>
      <c r="AK38" s="2303" t="s">
        <v>536</v>
      </c>
      <c r="AL38" s="2303"/>
      <c r="AM38" s="2303"/>
      <c r="AN38" s="2151" t="s">
        <v>438</v>
      </c>
      <c r="AO38" s="2261"/>
      <c r="AP38" s="2152"/>
      <c r="AQ38" s="2237"/>
      <c r="AR38" s="2240"/>
      <c r="AS38" s="2091"/>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32"/>
      <c r="T39" s="2180"/>
      <c r="U39" s="961"/>
      <c r="V39" s="2091"/>
      <c r="W39" s="2303" t="s">
        <v>537</v>
      </c>
      <c r="X39" s="2303" t="s">
        <v>538</v>
      </c>
      <c r="Y39" s="2303"/>
      <c r="Z39" s="2303" t="s">
        <v>539</v>
      </c>
      <c r="AA39" s="2303" t="s">
        <v>538</v>
      </c>
      <c r="AB39" s="2303"/>
      <c r="AC39" s="2156"/>
      <c r="AD39" s="2262"/>
      <c r="AE39" s="2157"/>
      <c r="AF39" s="2237"/>
      <c r="AG39" s="2091"/>
      <c r="AH39" s="2303" t="s">
        <v>537</v>
      </c>
      <c r="AI39" s="2303" t="s">
        <v>538</v>
      </c>
      <c r="AJ39" s="2303"/>
      <c r="AK39" s="2303" t="s">
        <v>539</v>
      </c>
      <c r="AL39" s="2303" t="s">
        <v>538</v>
      </c>
      <c r="AM39" s="2303"/>
      <c r="AN39" s="2156"/>
      <c r="AO39" s="2262"/>
      <c r="AP39" s="2157"/>
      <c r="AQ39" s="2237"/>
      <c r="AR39" s="2240"/>
      <c r="AS39" s="2091"/>
      <c r="AT39" s="1563"/>
      <c r="AU39" s="1563"/>
      <c r="AV39" s="1563"/>
      <c r="AW39" s="1563"/>
      <c r="AX39" s="1563"/>
      <c r="AY39" s="1558">
        <v>19</v>
      </c>
    </row>
    <row r="40" spans="1:51" ht="61.9" customHeight="1">
      <c r="A40" s="1297"/>
      <c r="B40" s="1297" t="s">
        <v>139</v>
      </c>
      <c r="C40" s="1297" t="s">
        <v>140</v>
      </c>
      <c r="D40" s="1297" t="s">
        <v>141</v>
      </c>
      <c r="E40" s="1291" t="s">
        <v>439</v>
      </c>
      <c r="F40" s="1291" t="s">
        <v>440</v>
      </c>
      <c r="G40" s="1291" t="s">
        <v>441</v>
      </c>
      <c r="H40" s="1291"/>
      <c r="I40" s="1291" t="s">
        <v>492</v>
      </c>
      <c r="J40" s="1291" t="s">
        <v>444</v>
      </c>
      <c r="K40" s="1291" t="s">
        <v>493</v>
      </c>
      <c r="L40" s="1291" t="s">
        <v>420</v>
      </c>
      <c r="Q40" s="313"/>
      <c r="R40" s="313"/>
      <c r="S40" s="2232"/>
      <c r="T40" s="2180"/>
      <c r="U40" s="239"/>
      <c r="V40" s="2091"/>
      <c r="W40" s="2303"/>
      <c r="X40" s="1906" t="s">
        <v>540</v>
      </c>
      <c r="Y40" s="1906" t="s">
        <v>541</v>
      </c>
      <c r="Z40" s="2303"/>
      <c r="AA40" s="1906" t="s">
        <v>542</v>
      </c>
      <c r="AB40" s="1906" t="s">
        <v>543</v>
      </c>
      <c r="AC40" s="1416" t="s">
        <v>448</v>
      </c>
      <c r="AD40" s="2185" t="s">
        <v>449</v>
      </c>
      <c r="AE40" s="2199"/>
      <c r="AF40" s="2238"/>
      <c r="AG40" s="2091"/>
      <c r="AH40" s="2303"/>
      <c r="AI40" s="1906" t="s">
        <v>540</v>
      </c>
      <c r="AJ40" s="1906" t="s">
        <v>541</v>
      </c>
      <c r="AK40" s="2303"/>
      <c r="AL40" s="1906" t="s">
        <v>542</v>
      </c>
      <c r="AM40" s="1906" t="s">
        <v>543</v>
      </c>
      <c r="AN40" s="1416" t="s">
        <v>448</v>
      </c>
      <c r="AO40" s="2185" t="s">
        <v>449</v>
      </c>
      <c r="AP40" s="2199"/>
      <c r="AQ40" s="2238"/>
      <c r="AR40" s="2241"/>
      <c r="AS40" s="209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30">
        <f ca="1">OFFSET(AD41,0,-1)+1</f>
        <v>2</v>
      </c>
      <c r="AE41" s="2230"/>
      <c r="AF41" s="1409">
        <f ca="1">OFFSET(AF41,0,-2)+1</f>
        <v>3</v>
      </c>
      <c r="AG41" s="1409">
        <f ca="1">OFFSET(AG41,0,-1)+1</f>
        <v>4</v>
      </c>
      <c r="AH41" s="1879"/>
      <c r="AI41" s="1879"/>
      <c r="AJ41" s="1879"/>
      <c r="AK41" s="1879"/>
      <c r="AL41" s="1879"/>
      <c r="AM41" s="1409">
        <f ca="1">OFFSET(AM41,0,-1)+1</f>
        <v>1</v>
      </c>
      <c r="AN41" s="1409">
        <f ca="1">OFFSET(AN41,0,-1)+1</f>
        <v>2</v>
      </c>
      <c r="AO41" s="2230">
        <f ca="1">OFFSET(AO41,0,-1)+1</f>
        <v>3</v>
      </c>
      <c r="AP41" s="2230"/>
      <c r="AQ41" s="1409">
        <f ca="1">OFFSET(AQ41,0,-2)+1</f>
        <v>4</v>
      </c>
      <c r="AR41" s="1172">
        <f ca="1">OFFSET(AR41,0,-1)</f>
        <v>4</v>
      </c>
      <c r="AS41" s="1409">
        <f ca="1">OFFSET(AS41,0,-1)+1</f>
        <v>5</v>
      </c>
      <c r="AT41" s="448"/>
      <c r="AU41" s="448"/>
      <c r="AV41" s="448"/>
      <c r="AW41" s="448"/>
      <c r="AX41" s="448"/>
      <c r="AY41" s="433">
        <v>0</v>
      </c>
    </row>
    <row r="42" spans="1:51" ht="24" customHeight="1">
      <c r="A42" s="1290" t="s">
        <v>253</v>
      </c>
      <c r="B42" s="1290"/>
      <c r="C42" s="1290"/>
      <c r="D42" s="1290"/>
      <c r="E42" s="221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127</v>
      </c>
      <c r="U42" s="237"/>
      <c r="V42" s="2213"/>
      <c r="W42" s="2214"/>
      <c r="X42" s="2214"/>
      <c r="Y42" s="2214"/>
      <c r="Z42" s="2214"/>
      <c r="AA42" s="2214"/>
      <c r="AB42" s="2214"/>
      <c r="AC42" s="2214"/>
      <c r="AD42" s="2214"/>
      <c r="AE42" s="2214"/>
      <c r="AF42" s="2215"/>
      <c r="AG42" s="2213" t="str">
        <f>INDEX(PT_DIFFERENTIATION_NTAR,MATCH(A42,PT_DIFFERENTIATION_NTAR_ID,0))</f>
        <v/>
      </c>
      <c r="AH42" s="2214"/>
      <c r="AI42" s="2214"/>
      <c r="AJ42" s="2214"/>
      <c r="AK42" s="2214"/>
      <c r="AL42" s="2214"/>
      <c r="AM42" s="2214"/>
      <c r="AN42" s="2214"/>
      <c r="AO42" s="2214"/>
      <c r="AP42" s="2214"/>
      <c r="AQ42" s="2214"/>
      <c r="AR42" s="221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253</v>
      </c>
      <c r="B43" s="1290" t="s">
        <v>254</v>
      </c>
      <c r="C43" s="1290"/>
      <c r="D43" s="1290"/>
      <c r="E43" s="2220"/>
      <c r="F43" s="2219">
        <v>1</v>
      </c>
      <c r="G43" s="1290"/>
      <c r="H43" s="1290"/>
      <c r="I43" s="1290"/>
      <c r="J43" s="1290"/>
      <c r="K43" s="1290"/>
      <c r="L43" s="1291"/>
      <c r="M43" s="1292"/>
      <c r="N43" s="1292"/>
      <c r="O43" s="1292"/>
      <c r="P43" s="1414"/>
      <c r="Q43" s="289"/>
      <c r="R43" s="290"/>
      <c r="S43" s="1420" t="str">
        <f>INDEX(PT_DIFFERENTIATION_NUM_TER,MATCH(B43,PT_DIFFERENTIATION_TER_ID,0))</f>
        <v>.</v>
      </c>
      <c r="T43" s="245" t="s">
        <v>399</v>
      </c>
      <c r="U43" s="237"/>
      <c r="V43" s="2213"/>
      <c r="W43" s="2214"/>
      <c r="X43" s="2214"/>
      <c r="Y43" s="2214"/>
      <c r="Z43" s="2214"/>
      <c r="AA43" s="2214"/>
      <c r="AB43" s="2214"/>
      <c r="AC43" s="2214"/>
      <c r="AD43" s="2214"/>
      <c r="AE43" s="2214"/>
      <c r="AF43" s="2215"/>
      <c r="AG43" s="2213" t="str">
        <f>INDEX(PT_DIFFERENTIATION_TER,MATCH(B43,PT_DIFFERENTIATION_TER_ID,0))</f>
        <v/>
      </c>
      <c r="AH43" s="2214"/>
      <c r="AI43" s="2214"/>
      <c r="AJ43" s="2214"/>
      <c r="AK43" s="2214"/>
      <c r="AL43" s="2214"/>
      <c r="AM43" s="2214"/>
      <c r="AN43" s="2214"/>
      <c r="AO43" s="2214"/>
      <c r="AP43" s="2214"/>
      <c r="AQ43" s="2214"/>
      <c r="AR43" s="2215"/>
      <c r="AS43" s="1185" t="s">
        <v>400</v>
      </c>
      <c r="AU43" s="437"/>
      <c r="AV43" s="437" t="str">
        <f t="shared" si="1"/>
        <v>Территория действия тарифа</v>
      </c>
      <c r="AW43" s="437"/>
      <c r="AX43" s="437"/>
      <c r="AY43" s="1082">
        <v>23</v>
      </c>
    </row>
    <row r="44" spans="1:51" ht="24" customHeight="1">
      <c r="A44" s="1290" t="s">
        <v>253</v>
      </c>
      <c r="B44" s="1290" t="s">
        <v>254</v>
      </c>
      <c r="C44" s="1290" t="s">
        <v>255</v>
      </c>
      <c r="D44" s="1290"/>
      <c r="E44" s="2220"/>
      <c r="F44" s="2220"/>
      <c r="G44" s="2219">
        <v>1</v>
      </c>
      <c r="H44" s="1290"/>
      <c r="I44" s="1290"/>
      <c r="J44" s="1290"/>
      <c r="K44" s="1290"/>
      <c r="L44" s="1291"/>
      <c r="M44" s="1292"/>
      <c r="N44" s="1292"/>
      <c r="O44" s="1292"/>
      <c r="P44" s="291"/>
      <c r="Q44" s="289"/>
      <c r="R44" s="290"/>
      <c r="S44" s="1420" t="str">
        <f>INDEX(PT_DIFFERENTIATION_NUM_CS,MATCH(C44,PT_DIFFERENTIATION_CS_ID,0))</f>
        <v>..</v>
      </c>
      <c r="T44" s="246" t="s">
        <v>532</v>
      </c>
      <c r="U44" s="237"/>
      <c r="V44" s="2213"/>
      <c r="W44" s="2214"/>
      <c r="X44" s="2214"/>
      <c r="Y44" s="2214"/>
      <c r="Z44" s="2214"/>
      <c r="AA44" s="2214"/>
      <c r="AB44" s="2214"/>
      <c r="AC44" s="2214"/>
      <c r="AD44" s="2214"/>
      <c r="AE44" s="2214"/>
      <c r="AF44" s="2215"/>
      <c r="AG44" s="2213" t="str">
        <f>INDEX(PT_DIFFERENTIATION_CS,MATCH(C44,PT_DIFFERENTIATION_CS_ID,0))</f>
        <v/>
      </c>
      <c r="AH44" s="2214"/>
      <c r="AI44" s="2214"/>
      <c r="AJ44" s="2214"/>
      <c r="AK44" s="2214"/>
      <c r="AL44" s="2214"/>
      <c r="AM44" s="2214"/>
      <c r="AN44" s="2214"/>
      <c r="AO44" s="2214"/>
      <c r="AP44" s="2214"/>
      <c r="AQ44" s="2214"/>
      <c r="AR44" s="2215"/>
      <c r="AS44" s="1185" t="s">
        <v>533</v>
      </c>
      <c r="AU44" s="437"/>
      <c r="AV44" s="437" t="str">
        <f t="shared" si="1"/>
        <v>Наименование централизованной системы горячего водоснабжения</v>
      </c>
      <c r="AW44" s="437"/>
      <c r="AX44" s="437"/>
      <c r="AY44" s="1082">
        <v>23</v>
      </c>
    </row>
    <row r="45" spans="1:51" ht="24" customHeight="1">
      <c r="A45" s="1290" t="s">
        <v>253</v>
      </c>
      <c r="B45" s="1290" t="s">
        <v>254</v>
      </c>
      <c r="C45" s="1290" t="s">
        <v>255</v>
      </c>
      <c r="D45" s="1290" t="s">
        <v>544</v>
      </c>
      <c r="E45" s="2220"/>
      <c r="F45" s="2220"/>
      <c r="G45" s="2220"/>
      <c r="H45" s="2220"/>
      <c r="I45" s="2221" t="str">
        <f>S44&amp;".1"</f>
        <v>...1</v>
      </c>
      <c r="J45" s="1290"/>
      <c r="K45" s="1290"/>
      <c r="L45" s="1291"/>
      <c r="P45" s="2223">
        <v>1</v>
      </c>
      <c r="Q45" s="1408"/>
      <c r="R45" s="293"/>
      <c r="S45" s="1420" t="str">
        <f>$I45</f>
        <v>...1</v>
      </c>
      <c r="T45" s="222" t="s">
        <v>485</v>
      </c>
      <c r="U45" s="237"/>
      <c r="V45" s="2287"/>
      <c r="W45" s="2288"/>
      <c r="X45" s="2288"/>
      <c r="Y45" s="2288"/>
      <c r="Z45" s="2288"/>
      <c r="AA45" s="2288"/>
      <c r="AB45" s="2288"/>
      <c r="AC45" s="2288"/>
      <c r="AD45" s="2288"/>
      <c r="AE45" s="2288"/>
      <c r="AF45" s="2289"/>
      <c r="AG45" s="2290"/>
      <c r="AH45" s="2291"/>
      <c r="AI45" s="2291"/>
      <c r="AJ45" s="2291"/>
      <c r="AK45" s="2291"/>
      <c r="AL45" s="2291"/>
      <c r="AM45" s="2291"/>
      <c r="AN45" s="2291"/>
      <c r="AO45" s="2291"/>
      <c r="AP45" s="2291"/>
      <c r="AQ45" s="2291"/>
      <c r="AR45" s="2292"/>
      <c r="AS45" s="1185" t="s">
        <v>486</v>
      </c>
      <c r="AU45" s="437"/>
      <c r="AV45" s="437" t="str">
        <f t="shared" si="1"/>
        <v>Наименование признака дифференциации</v>
      </c>
      <c r="AW45" s="437"/>
      <c r="AX45" s="437"/>
      <c r="AY45" s="1082">
        <v>23</v>
      </c>
    </row>
    <row r="46" spans="1:51" ht="24" customHeight="1">
      <c r="A46" s="1290" t="s">
        <v>253</v>
      </c>
      <c r="B46" s="1290" t="s">
        <v>254</v>
      </c>
      <c r="C46" s="1290" t="s">
        <v>255</v>
      </c>
      <c r="D46" s="1290" t="s">
        <v>544</v>
      </c>
      <c r="E46" s="2220"/>
      <c r="F46" s="2220"/>
      <c r="G46" s="2220"/>
      <c r="H46" s="2220"/>
      <c r="I46" s="2222"/>
      <c r="J46" s="2221" t="str">
        <f>I45&amp;".1"</f>
        <v>...1.1</v>
      </c>
      <c r="K46" s="1290"/>
      <c r="L46" s="1291" t="s">
        <v>408</v>
      </c>
      <c r="P46" s="2223"/>
      <c r="Q46" s="2223">
        <v>1</v>
      </c>
      <c r="R46" s="294"/>
      <c r="S46" s="1420" t="str">
        <f>$J46</f>
        <v>...1.1</v>
      </c>
      <c r="T46" s="223" t="s">
        <v>409</v>
      </c>
      <c r="U46" s="237"/>
      <c r="V46" s="2207"/>
      <c r="W46" s="2208"/>
      <c r="X46" s="2208"/>
      <c r="Y46" s="2208"/>
      <c r="Z46" s="2208"/>
      <c r="AA46" s="2208"/>
      <c r="AB46" s="2208"/>
      <c r="AC46" s="2208"/>
      <c r="AD46" s="2208"/>
      <c r="AE46" s="2208"/>
      <c r="AF46" s="2209"/>
      <c r="AG46" s="2207"/>
      <c r="AH46" s="2208"/>
      <c r="AI46" s="2208"/>
      <c r="AJ46" s="2208"/>
      <c r="AK46" s="2208"/>
      <c r="AL46" s="2208"/>
      <c r="AM46" s="2208"/>
      <c r="AN46" s="2208"/>
      <c r="AO46" s="2208"/>
      <c r="AP46" s="2208"/>
      <c r="AQ46" s="2208"/>
      <c r="AR46" s="2209"/>
      <c r="AS46" s="1234" t="s">
        <v>487</v>
      </c>
      <c r="AU46" s="437"/>
      <c r="AV46" s="437" t="str">
        <f t="shared" si="1"/>
        <v>Группа потребителей</v>
      </c>
      <c r="AW46" s="437"/>
      <c r="AX46" s="437"/>
      <c r="AY46" s="1082">
        <v>23</v>
      </c>
    </row>
    <row r="47" spans="1:51" ht="24" customHeight="1">
      <c r="A47" s="1290" t="s">
        <v>253</v>
      </c>
      <c r="B47" s="1290" t="s">
        <v>254</v>
      </c>
      <c r="C47" s="1290" t="s">
        <v>255</v>
      </c>
      <c r="D47" s="1290" t="s">
        <v>544</v>
      </c>
      <c r="E47" s="2220"/>
      <c r="F47" s="2220"/>
      <c r="G47" s="2220"/>
      <c r="H47" s="2220"/>
      <c r="I47" s="2222"/>
      <c r="J47" s="2222"/>
      <c r="K47" s="2221" t="str">
        <f>J46&amp;".1"</f>
        <v>...1.1.1</v>
      </c>
      <c r="L47" s="1291"/>
      <c r="P47" s="2223"/>
      <c r="Q47" s="2223"/>
      <c r="R47" s="294">
        <v>1</v>
      </c>
      <c r="S47" s="1420" t="str">
        <f>$K47</f>
        <v>...1.1.1</v>
      </c>
      <c r="T47" s="1364"/>
      <c r="U47" s="237"/>
      <c r="V47" s="688"/>
      <c r="W47" s="688"/>
      <c r="X47" s="688"/>
      <c r="Y47" s="688"/>
      <c r="Z47" s="688"/>
      <c r="AA47" s="688"/>
      <c r="AB47" s="688"/>
      <c r="AC47" s="2217"/>
      <c r="AD47" s="2216" t="s">
        <v>65</v>
      </c>
      <c r="AE47" s="2217"/>
      <c r="AF47" s="2216" t="s">
        <v>65</v>
      </c>
      <c r="AG47" s="688"/>
      <c r="AH47" s="688"/>
      <c r="AI47" s="688"/>
      <c r="AJ47" s="688"/>
      <c r="AK47" s="688"/>
      <c r="AL47" s="688"/>
      <c r="AM47" s="688"/>
      <c r="AN47" s="2224"/>
      <c r="AO47" s="2102" t="s">
        <v>65</v>
      </c>
      <c r="AP47" s="2226"/>
      <c r="AQ47" s="2102" t="s">
        <v>19</v>
      </c>
      <c r="AR47" s="1365"/>
      <c r="AS4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253</v>
      </c>
      <c r="B48" s="1290" t="s">
        <v>254</v>
      </c>
      <c r="C48" s="1290" t="s">
        <v>255</v>
      </c>
      <c r="D48" s="1290" t="s">
        <v>544</v>
      </c>
      <c r="E48" s="2220"/>
      <c r="F48" s="2220"/>
      <c r="G48" s="2220"/>
      <c r="H48" s="2220"/>
      <c r="I48" s="2222"/>
      <c r="J48" s="2222"/>
      <c r="K48" s="2221"/>
      <c r="L48" s="1291"/>
      <c r="P48" s="2223"/>
      <c r="Q48" s="2223"/>
      <c r="R48" s="294"/>
      <c r="S48" s="1417"/>
      <c r="T48" s="237"/>
      <c r="U48" s="237"/>
      <c r="V48" s="1287"/>
      <c r="W48" s="1287"/>
      <c r="X48" s="1287"/>
      <c r="Y48" s="1287"/>
      <c r="Z48" s="1287"/>
      <c r="AA48" s="1287"/>
      <c r="AB48" s="1287"/>
      <c r="AC48" s="2216"/>
      <c r="AD48" s="2216"/>
      <c r="AE48" s="2216"/>
      <c r="AF48" s="2216"/>
      <c r="AG48" s="262"/>
      <c r="AH48" s="262"/>
      <c r="AI48" s="262"/>
      <c r="AJ48" s="262"/>
      <c r="AK48" s="262"/>
      <c r="AL48" s="262"/>
      <c r="AM48" s="262"/>
      <c r="AN48" s="2225"/>
      <c r="AO48" s="2102"/>
      <c r="AP48" s="2227"/>
      <c r="AQ48" s="2102"/>
      <c r="AR48" s="1366"/>
      <c r="AS48" s="2293"/>
      <c r="AU48" s="437"/>
      <c r="AV48" s="437" t="str">
        <f t="shared" si="1"/>
        <v/>
      </c>
      <c r="AW48" s="437"/>
      <c r="AX48" s="437"/>
      <c r="AY48" s="1082">
        <v>0</v>
      </c>
    </row>
    <row r="49" spans="1:51" ht="21" customHeight="1">
      <c r="A49" s="1290" t="s">
        <v>253</v>
      </c>
      <c r="B49" s="1290" t="s">
        <v>254</v>
      </c>
      <c r="C49" s="1290" t="s">
        <v>255</v>
      </c>
      <c r="D49" s="1290" t="s">
        <v>544</v>
      </c>
      <c r="E49" s="2220"/>
      <c r="F49" s="2220"/>
      <c r="G49" s="2220"/>
      <c r="H49" s="2220"/>
      <c r="I49" s="2222"/>
      <c r="J49" s="2221"/>
      <c r="K49" s="1290"/>
      <c r="L49" s="1291"/>
      <c r="P49" s="2223"/>
      <c r="Q49" s="2223"/>
      <c r="R49" s="293"/>
      <c r="S49" s="1205"/>
      <c r="T49" s="224"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253</v>
      </c>
      <c r="B50" s="1290" t="s">
        <v>254</v>
      </c>
      <c r="C50" s="1290" t="s">
        <v>255</v>
      </c>
      <c r="D50" s="1290" t="s">
        <v>544</v>
      </c>
      <c r="E50" s="2220"/>
      <c r="F50" s="2220"/>
      <c r="G50" s="2220"/>
      <c r="H50" s="2220"/>
      <c r="I50" s="2221"/>
      <c r="J50" s="1290"/>
      <c r="K50" s="1290"/>
      <c r="L50" s="1291"/>
      <c r="P50" s="2223"/>
      <c r="Q50" s="1408"/>
      <c r="R50" s="293"/>
      <c r="S50" s="1205"/>
      <c r="T50" s="302" t="s">
        <v>414</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253</v>
      </c>
      <c r="B51" s="1290" t="s">
        <v>254</v>
      </c>
      <c r="C51" s="1290" t="s">
        <v>255</v>
      </c>
      <c r="D51" s="1290" t="s">
        <v>544</v>
      </c>
      <c r="E51" s="2220"/>
      <c r="F51" s="2220"/>
      <c r="G51" s="2220"/>
      <c r="H51" s="2219"/>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253</v>
      </c>
      <c r="B52" s="1270" t="s">
        <v>254</v>
      </c>
      <c r="C52" s="1241"/>
      <c r="D52" s="1241"/>
      <c r="E52" s="2220"/>
      <c r="F52" s="2219"/>
      <c r="G52" s="1241"/>
      <c r="H52" s="1241"/>
      <c r="I52" s="1241"/>
      <c r="J52" s="1241"/>
      <c r="K52" s="1241"/>
      <c r="L52" s="1421"/>
      <c r="M52" s="1248"/>
      <c r="N52" s="124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253</v>
      </c>
      <c r="B53" s="1270"/>
      <c r="C53" s="1270"/>
      <c r="D53" s="1270"/>
      <c r="E53" s="2219"/>
      <c r="F53" s="1270"/>
      <c r="G53" s="1270"/>
      <c r="H53" s="1270"/>
      <c r="I53" s="1270"/>
      <c r="J53" s="1270"/>
      <c r="K53" s="1270"/>
      <c r="L53" s="1273"/>
      <c r="M53" s="1248"/>
      <c r="N53" s="1248"/>
      <c r="O53" s="455"/>
      <c r="P53" s="317"/>
      <c r="Q53" s="1271"/>
      <c r="R53" s="317"/>
      <c r="S53" s="1249"/>
      <c r="T53" s="1252" t="s">
        <v>418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18"/>
      <c r="U56" s="2218"/>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c r="AS56" s="2218"/>
      <c r="AY56" s="1082">
        <v>14</v>
      </c>
    </row>
    <row r="57" spans="1:51" ht="14.65" customHeight="1">
      <c r="O57" s="474"/>
      <c r="AY57" s="1082">
        <v>14</v>
      </c>
    </row>
    <row r="58" spans="1:51" ht="14.65" customHeight="1">
      <c r="O58" s="474"/>
      <c r="S58" s="1180"/>
      <c r="T58" s="2218"/>
      <c r="U58" s="2218"/>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c r="AS58" s="221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19">
        <v>1</v>
      </c>
      <c r="F2" s="1290"/>
      <c r="G2" s="1290"/>
      <c r="H2" s="1290"/>
      <c r="I2" s="1290"/>
      <c r="J2" s="1290"/>
      <c r="K2" s="1290"/>
      <c r="L2" s="1291"/>
      <c r="M2" s="1292"/>
      <c r="N2" s="1292"/>
      <c r="O2" s="1292"/>
      <c r="P2" s="298"/>
      <c r="Q2" s="297"/>
      <c r="R2" s="292"/>
      <c r="S2" s="1420" t="e">
        <f>INDEX(PT_DIFFERENTIATION_NUM_NTAR,MATCH(A2,PT_DIFFERENTIATION_NTAR_ID,0))</f>
        <v>#N/A</v>
      </c>
      <c r="T2" s="235" t="s">
        <v>127</v>
      </c>
      <c r="U2" s="237"/>
      <c r="V2" s="2213"/>
      <c r="W2" s="2214"/>
      <c r="X2" s="2214"/>
      <c r="Y2" s="2214"/>
      <c r="Z2" s="2214"/>
      <c r="AA2" s="2214"/>
      <c r="AB2" s="2214"/>
      <c r="AC2" s="2214"/>
      <c r="AD2" s="2214"/>
      <c r="AE2" s="2214"/>
      <c r="AF2" s="2215"/>
      <c r="AG2" s="2213" t="e">
        <f>INDEX(PT_DIFFERENTIATION_NTAR,MATCH(A2,PT_DIFFERENTIATION_NTAR_ID,0))</f>
        <v>#N/A</v>
      </c>
      <c r="AH2" s="2214"/>
      <c r="AI2" s="2214"/>
      <c r="AJ2" s="2214"/>
      <c r="AK2" s="2214"/>
      <c r="AL2" s="2214"/>
      <c r="AM2" s="2214"/>
      <c r="AN2" s="2214"/>
      <c r="AO2" s="2214"/>
      <c r="AP2" s="2214"/>
      <c r="AQ2" s="2214"/>
      <c r="AR2" s="221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20"/>
      <c r="F3" s="2219">
        <v>1</v>
      </c>
      <c r="G3" s="1290"/>
      <c r="H3" s="1290"/>
      <c r="I3" s="1290"/>
      <c r="J3" s="1290"/>
      <c r="K3" s="1290"/>
      <c r="L3" s="1291"/>
      <c r="M3" s="1292"/>
      <c r="N3" s="1292"/>
      <c r="O3" s="1292"/>
      <c r="P3" s="1414"/>
      <c r="Q3" s="289"/>
      <c r="R3" s="290"/>
      <c r="S3" s="1420" t="e">
        <f>INDEX(PT_DIFFERENTIATION_NUM_TER,MATCH(B3,PT_DIFFERENTIATION_TER_ID,0))</f>
        <v>#N/A</v>
      </c>
      <c r="T3" s="245" t="s">
        <v>399</v>
      </c>
      <c r="U3" s="237"/>
      <c r="V3" s="2213"/>
      <c r="W3" s="2214"/>
      <c r="X3" s="2214"/>
      <c r="Y3" s="2214"/>
      <c r="Z3" s="2214"/>
      <c r="AA3" s="2214"/>
      <c r="AB3" s="2214"/>
      <c r="AC3" s="2214"/>
      <c r="AD3" s="2214"/>
      <c r="AE3" s="2214"/>
      <c r="AF3" s="2215"/>
      <c r="AG3" s="2213" t="e">
        <f>INDEX(PT_DIFFERENTIATION_TER,MATCH(B3,PT_DIFFERENTIATION_TER_ID,0))</f>
        <v>#N/A</v>
      </c>
      <c r="AH3" s="2214"/>
      <c r="AI3" s="2214"/>
      <c r="AJ3" s="2214"/>
      <c r="AK3" s="2214"/>
      <c r="AL3" s="2214"/>
      <c r="AM3" s="2214"/>
      <c r="AN3" s="2214"/>
      <c r="AO3" s="2214"/>
      <c r="AP3" s="2214"/>
      <c r="AQ3" s="2214"/>
      <c r="AR3" s="2215"/>
      <c r="AS3" s="1185" t="s">
        <v>400</v>
      </c>
      <c r="AU3" s="437"/>
      <c r="AV3" s="437" t="str">
        <f t="shared" si="0"/>
        <v>Территория действия тарифа</v>
      </c>
      <c r="AW3" s="437"/>
      <c r="AX3" s="437"/>
      <c r="AY3" s="1082">
        <v>0</v>
      </c>
    </row>
    <row r="4" spans="1:51" ht="23.25" hidden="1" customHeight="1">
      <c r="A4" s="1290"/>
      <c r="B4" s="1290"/>
      <c r="C4" s="1290"/>
      <c r="D4" s="1290"/>
      <c r="E4" s="2220"/>
      <c r="F4" s="2220"/>
      <c r="G4" s="2219">
        <v>1</v>
      </c>
      <c r="H4" s="1290"/>
      <c r="I4" s="1290"/>
      <c r="J4" s="1290"/>
      <c r="K4" s="1290"/>
      <c r="L4" s="1291"/>
      <c r="M4" s="1292"/>
      <c r="N4" s="1292"/>
      <c r="O4" s="1292"/>
      <c r="P4" s="291"/>
      <c r="Q4" s="289"/>
      <c r="R4" s="290"/>
      <c r="S4" s="1420" t="e">
        <f>INDEX(PT_DIFFERENTIATION_NUM_CS,MATCH(C4,PT_DIFFERENTIATION_CS_ID,0))</f>
        <v>#N/A</v>
      </c>
      <c r="T4" s="246" t="s">
        <v>532</v>
      </c>
      <c r="U4" s="237"/>
      <c r="V4" s="2213"/>
      <c r="W4" s="2214"/>
      <c r="X4" s="2214"/>
      <c r="Y4" s="2214"/>
      <c r="Z4" s="2214"/>
      <c r="AA4" s="2214"/>
      <c r="AB4" s="2214"/>
      <c r="AC4" s="2214"/>
      <c r="AD4" s="2214"/>
      <c r="AE4" s="2214"/>
      <c r="AF4" s="2215"/>
      <c r="AG4" s="2213" t="e">
        <f>INDEX(PT_DIFFERENTIATION_CS,MATCH(C4,PT_DIFFERENTIATION_CS_ID,0))</f>
        <v>#N/A</v>
      </c>
      <c r="AH4" s="2214"/>
      <c r="AI4" s="2214"/>
      <c r="AJ4" s="2214"/>
      <c r="AK4" s="2214"/>
      <c r="AL4" s="2214"/>
      <c r="AM4" s="2214"/>
      <c r="AN4" s="2214"/>
      <c r="AO4" s="2214"/>
      <c r="AP4" s="2214"/>
      <c r="AQ4" s="2214"/>
      <c r="AR4" s="2215"/>
      <c r="AS4" s="1185" t="s">
        <v>533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20"/>
      <c r="F5" s="2220"/>
      <c r="G5" s="2220"/>
      <c r="H5" s="2220"/>
      <c r="I5" s="2221" t="e">
        <f>S4&amp;".1"</f>
        <v>#N/A</v>
      </c>
      <c r="J5" s="1290"/>
      <c r="K5" s="1290"/>
      <c r="L5" s="1291"/>
      <c r="P5" s="2223">
        <v>1</v>
      </c>
      <c r="Q5" s="1408"/>
      <c r="R5" s="293"/>
      <c r="S5" s="1420" t="e">
        <f>$I5</f>
        <v>#N/A</v>
      </c>
      <c r="T5" s="222" t="s">
        <v>485</v>
      </c>
      <c r="U5" s="237"/>
      <c r="V5" s="2287"/>
      <c r="W5" s="2288"/>
      <c r="X5" s="2288"/>
      <c r="Y5" s="2288"/>
      <c r="Z5" s="2288"/>
      <c r="AA5" s="2288"/>
      <c r="AB5" s="2288"/>
      <c r="AC5" s="2288"/>
      <c r="AD5" s="2288"/>
      <c r="AE5" s="2288"/>
      <c r="AF5" s="2289"/>
      <c r="AG5" s="2290"/>
      <c r="AH5" s="2291"/>
      <c r="AI5" s="2291"/>
      <c r="AJ5" s="2291"/>
      <c r="AK5" s="2291"/>
      <c r="AL5" s="2291"/>
      <c r="AM5" s="2291"/>
      <c r="AN5" s="2291"/>
      <c r="AO5" s="2291"/>
      <c r="AP5" s="2291"/>
      <c r="AQ5" s="2291"/>
      <c r="AR5" s="2292"/>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20"/>
      <c r="F6" s="2220"/>
      <c r="G6" s="2220"/>
      <c r="H6" s="2220"/>
      <c r="I6" s="2222"/>
      <c r="J6" s="2221" t="e">
        <f>I5&amp;".1"</f>
        <v>#N/A</v>
      </c>
      <c r="K6" s="1290"/>
      <c r="L6" s="1291" t="s">
        <v>408</v>
      </c>
      <c r="P6" s="2223"/>
      <c r="Q6" s="2223">
        <v>1</v>
      </c>
      <c r="R6" s="294"/>
      <c r="S6" s="1420" t="e">
        <f>$J6</f>
        <v>#N/A</v>
      </c>
      <c r="T6" s="223" t="s">
        <v>409</v>
      </c>
      <c r="U6" s="237"/>
      <c r="V6" s="2207"/>
      <c r="W6" s="2208"/>
      <c r="X6" s="2208"/>
      <c r="Y6" s="2208"/>
      <c r="Z6" s="2208"/>
      <c r="AA6" s="2208"/>
      <c r="AB6" s="2208"/>
      <c r="AC6" s="2208"/>
      <c r="AD6" s="2208"/>
      <c r="AE6" s="2208"/>
      <c r="AF6" s="2209"/>
      <c r="AG6" s="2207"/>
      <c r="AH6" s="2208"/>
      <c r="AI6" s="2208"/>
      <c r="AJ6" s="2208"/>
      <c r="AK6" s="2208"/>
      <c r="AL6" s="2208"/>
      <c r="AM6" s="2208"/>
      <c r="AN6" s="2208"/>
      <c r="AO6" s="2208"/>
      <c r="AP6" s="2208"/>
      <c r="AQ6" s="2208"/>
      <c r="AR6" s="2209"/>
      <c r="AS6" s="1234" t="s">
        <v>487</v>
      </c>
      <c r="AU6" s="437"/>
      <c r="AV6" s="437" t="str">
        <f t="shared" si="0"/>
        <v>Группа потребителей</v>
      </c>
      <c r="AW6" s="437"/>
      <c r="AX6" s="437"/>
      <c r="AY6" s="1082">
        <v>0</v>
      </c>
    </row>
    <row r="7" spans="1:51" ht="23.25" hidden="1" customHeight="1">
      <c r="A7" s="1290"/>
      <c r="B7" s="1290"/>
      <c r="C7" s="1290"/>
      <c r="D7" s="1290"/>
      <c r="E7" s="2220"/>
      <c r="F7" s="2220"/>
      <c r="G7" s="2220"/>
      <c r="H7" s="2220"/>
      <c r="I7" s="2222"/>
      <c r="J7" s="2222"/>
      <c r="K7" s="2221" t="e">
        <f>J6&amp;".1"</f>
        <v>#N/A</v>
      </c>
      <c r="L7" s="1291"/>
      <c r="P7" s="2223"/>
      <c r="Q7" s="2223"/>
      <c r="R7" s="294">
        <v>1</v>
      </c>
      <c r="S7" s="1420" t="e">
        <f>$K7</f>
        <v>#N/A</v>
      </c>
      <c r="T7" s="1364"/>
      <c r="U7" s="237"/>
      <c r="V7" s="688"/>
      <c r="W7" s="688"/>
      <c r="X7" s="688"/>
      <c r="Y7" s="688"/>
      <c r="Z7" s="688"/>
      <c r="AA7" s="688"/>
      <c r="AB7" s="1184"/>
      <c r="AC7" s="2224"/>
      <c r="AD7" s="2102" t="s">
        <v>65</v>
      </c>
      <c r="AE7" s="2224"/>
      <c r="AF7" s="2102" t="s">
        <v>65</v>
      </c>
      <c r="AG7" s="688"/>
      <c r="AH7" s="688"/>
      <c r="AI7" s="688"/>
      <c r="AJ7" s="688"/>
      <c r="AK7" s="688"/>
      <c r="AL7" s="688"/>
      <c r="AM7" s="1184"/>
      <c r="AN7" s="2224"/>
      <c r="AO7" s="2102" t="s">
        <v>65</v>
      </c>
      <c r="AP7" s="2226"/>
      <c r="AQ7" s="2102" t="s">
        <v>65</v>
      </c>
      <c r="AR7" s="1365"/>
      <c r="AS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20"/>
      <c r="F8" s="2220"/>
      <c r="G8" s="2220"/>
      <c r="H8" s="2220"/>
      <c r="I8" s="2222"/>
      <c r="J8" s="2222"/>
      <c r="K8" s="2221"/>
      <c r="L8" s="1291"/>
      <c r="P8" s="2223"/>
      <c r="Q8" s="2223"/>
      <c r="R8" s="294"/>
      <c r="S8" s="1417"/>
      <c r="T8" s="237"/>
      <c r="U8" s="237"/>
      <c r="V8" s="262"/>
      <c r="W8" s="262"/>
      <c r="X8" s="262"/>
      <c r="Y8" s="262"/>
      <c r="Z8" s="262"/>
      <c r="AA8" s="262"/>
      <c r="AB8" s="265" t="str">
        <f>AC7&amp;"-"&amp;AE7</f>
        <v>-</v>
      </c>
      <c r="AC8" s="2225"/>
      <c r="AD8" s="2102"/>
      <c r="AE8" s="2225"/>
      <c r="AF8" s="2102"/>
      <c r="AG8" s="262"/>
      <c r="AH8" s="262"/>
      <c r="AI8" s="262"/>
      <c r="AJ8" s="262"/>
      <c r="AK8" s="262"/>
      <c r="AL8" s="262"/>
      <c r="AM8" s="265" t="str">
        <f>AN7&amp;"-"&amp;AP7</f>
        <v>-</v>
      </c>
      <c r="AN8" s="2225"/>
      <c r="AO8" s="2102"/>
      <c r="AP8" s="2227"/>
      <c r="AQ8" s="2102"/>
      <c r="AR8" s="1366"/>
      <c r="AS8" s="2293"/>
      <c r="AU8" s="437"/>
      <c r="AV8" s="437" t="str">
        <f t="shared" si="0"/>
        <v/>
      </c>
      <c r="AW8" s="437"/>
      <c r="AX8" s="437"/>
      <c r="AY8" s="1082">
        <v>0</v>
      </c>
    </row>
    <row r="9" spans="1:51" ht="21" hidden="1" customHeight="1">
      <c r="A9" s="1290"/>
      <c r="B9" s="1290"/>
      <c r="C9" s="1290"/>
      <c r="D9" s="1290"/>
      <c r="E9" s="2220"/>
      <c r="F9" s="2220"/>
      <c r="G9" s="2220"/>
      <c r="H9" s="2220"/>
      <c r="I9" s="2222"/>
      <c r="J9" s="2221"/>
      <c r="K9" s="1290"/>
      <c r="L9" s="1291"/>
      <c r="P9" s="2223"/>
      <c r="Q9" s="2223"/>
      <c r="R9" s="293"/>
      <c r="S9" s="1205"/>
      <c r="T9" s="224"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20"/>
      <c r="F10" s="2220"/>
      <c r="G10" s="2220"/>
      <c r="H10" s="2220"/>
      <c r="I10" s="2221"/>
      <c r="J10" s="1290"/>
      <c r="K10" s="1290"/>
      <c r="L10" s="1291"/>
      <c r="P10" s="2223"/>
      <c r="Q10" s="1408"/>
      <c r="R10" s="293"/>
      <c r="S10" s="1205"/>
      <c r="T10" s="302" t="s">
        <v>414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20"/>
      <c r="F11" s="2220"/>
      <c r="G11" s="2220"/>
      <c r="H11" s="2219"/>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20"/>
      <c r="F12" s="2219"/>
      <c r="G12" s="1241"/>
      <c r="H12" s="1241"/>
      <c r="I12" s="1241"/>
      <c r="J12" s="1241"/>
      <c r="K12" s="1241"/>
      <c r="L12" s="1421"/>
      <c r="M12" s="1248"/>
      <c r="N12" s="1248"/>
      <c r="P12" s="1243"/>
      <c r="Q12" s="1244"/>
      <c r="R12" s="1243"/>
      <c r="S12" s="1249"/>
      <c r="T12" s="1252" t="s">
        <v>417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19"/>
      <c r="F13" s="1270"/>
      <c r="G13" s="1270"/>
      <c r="H13" s="1270"/>
      <c r="I13" s="1270"/>
      <c r="J13" s="1270"/>
      <c r="K13" s="1270"/>
      <c r="L13" s="1273"/>
      <c r="M13" s="1248"/>
      <c r="N13" s="1248"/>
      <c r="O13" s="455"/>
      <c r="P13" s="317"/>
      <c r="Q13" s="1271"/>
      <c r="R13" s="317"/>
      <c r="S13" s="1249"/>
      <c r="T13" s="1252" t="s">
        <v>418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17"/>
      <c r="AO15" s="2216" t="s">
        <v>65</v>
      </c>
      <c r="AP15" s="2217"/>
      <c r="AQ15" s="2216" t="s">
        <v>65</v>
      </c>
      <c r="AY15" s="1082">
        <v>0</v>
      </c>
    </row>
    <row r="16" spans="1:51" ht="14.25" hidden="1" customHeight="1">
      <c r="AG16" s="1287"/>
      <c r="AH16" s="1287"/>
      <c r="AI16" s="1287"/>
      <c r="AJ16" s="1287"/>
      <c r="AK16" s="1287"/>
      <c r="AL16" s="1287"/>
      <c r="AM16" s="265" t="str">
        <f>AN15&amp;"-"&amp;AP15</f>
        <v>-</v>
      </c>
      <c r="AN16" s="2216"/>
      <c r="AO16" s="2216"/>
      <c r="AP16" s="2216"/>
      <c r="AQ16" s="2216"/>
      <c r="AY16" s="1082">
        <v>0</v>
      </c>
    </row>
    <row r="17" spans="1:51" ht="14.25" hidden="1" customHeight="1">
      <c r="AQ17" s="264"/>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3" t="s">
        <v>422</v>
      </c>
      <c r="AF20" s="123" t="s">
        <v>423</v>
      </c>
      <c r="AG20" s="1087" t="s">
        <v>421</v>
      </c>
      <c r="AO20" s="123" t="s">
        <v>424</v>
      </c>
      <c r="AQ20" s="123"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0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1170"/>
      <c r="AY24" s="1082">
        <v>25</v>
      </c>
    </row>
    <row r="25" spans="1:51" ht="14.65" customHeight="1">
      <c r="Q25" s="313"/>
      <c r="R25" s="313"/>
      <c r="S25" s="2172" t="str">
        <f>IF(org=0,"Не определено",org)</f>
        <v>МУП "Михайловское водопроводно-канализационное хозяйство"</v>
      </c>
      <c r="T25" s="2172"/>
      <c r="U25" s="2172"/>
      <c r="V25" s="2172"/>
      <c r="W25" s="2172"/>
      <c r="X25" s="2172"/>
      <c r="Y25" s="2172"/>
      <c r="Z25" s="2172"/>
      <c r="AA25" s="2172"/>
      <c r="AB25" s="2172"/>
      <c r="AC25" s="2172"/>
      <c r="AD25" s="2172"/>
      <c r="AE25" s="2172"/>
      <c r="AF25" s="2172"/>
      <c r="AG25" s="2172"/>
      <c r="AH25" s="2172"/>
      <c r="AI25" s="2172"/>
      <c r="AJ25" s="2172"/>
      <c r="AK25" s="2172"/>
      <c r="AL25" s="2172"/>
      <c r="AM25" s="2172"/>
      <c r="AN25" s="2172"/>
      <c r="AO25" s="2172"/>
      <c r="AP25" s="2172"/>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10" t="s">
        <v>42</v>
      </c>
      <c r="T27" s="2210"/>
      <c r="U27" s="1299"/>
      <c r="V27" s="2212" t="str">
        <f>IF(TITLE_NAME_OR_PR_CHANGE="",IF(TITLE_NAME_OR_PR="","",TITLE_NAME_OR_PR),TITLE_NAME_OR_PR_CHANGE)</f>
        <v/>
      </c>
      <c r="W27" s="2212"/>
      <c r="X27" s="2212"/>
      <c r="Y27" s="2212"/>
      <c r="Z27" s="2212"/>
      <c r="AA27" s="2212"/>
      <c r="AB27" s="2212"/>
      <c r="AC27" s="2212"/>
      <c r="AD27" s="2212"/>
      <c r="AE27" s="2212"/>
      <c r="AF27" s="263"/>
      <c r="AG27" s="2212" t="str">
        <f>IF(TITLE_NAME_OR_PR_CHANGE="",IF(TITLE_NAME_OR_PR="","",TITLE_NAME_OR_PR),TITLE_NAME_OR_PR_CHANGE)</f>
        <v/>
      </c>
      <c r="AH27" s="2212"/>
      <c r="AI27" s="2212"/>
      <c r="AJ27" s="2212"/>
      <c r="AK27" s="2212"/>
      <c r="AL27" s="2212"/>
      <c r="AM27" s="2212"/>
      <c r="AN27" s="2212"/>
      <c r="AO27" s="2212"/>
      <c r="AP27" s="2212"/>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10" t="s">
        <v>425</v>
      </c>
      <c r="T28" s="2210"/>
      <c r="U28" s="1299"/>
      <c r="V28" s="2211" t="str">
        <f>IF(TITLE_DATE_PR_CHANGE="",IF(TITLE_DATE_PR="","",TITLE_DATE_PR),TITLE_DATE_PR_CHANGE)</f>
        <v/>
      </c>
      <c r="W28" s="2211"/>
      <c r="X28" s="2211"/>
      <c r="Y28" s="2211"/>
      <c r="Z28" s="2211"/>
      <c r="AA28" s="2211"/>
      <c r="AB28" s="2211"/>
      <c r="AC28" s="2211"/>
      <c r="AD28" s="2211"/>
      <c r="AE28" s="2211"/>
      <c r="AF28" s="263"/>
      <c r="AG28" s="2211" t="str">
        <f>IF(TITLE_DATE_PR_CHANGE="",IF(TITLE_DATE_PR="","",TITLE_DATE_PR),TITLE_DATE_PR_CHANGE)</f>
        <v/>
      </c>
      <c r="AH28" s="2211"/>
      <c r="AI28" s="2211"/>
      <c r="AJ28" s="2211"/>
      <c r="AK28" s="2211"/>
      <c r="AL28" s="2211"/>
      <c r="AM28" s="2211"/>
      <c r="AN28" s="2211"/>
      <c r="AO28" s="2211"/>
      <c r="AP28" s="2211"/>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10" t="s">
        <v>426</v>
      </c>
      <c r="T29" s="2210"/>
      <c r="U29" s="1299"/>
      <c r="V29" s="2212" t="str">
        <f>IF(TITLE_NUMBER_PR_CHANGE="",IF(TITLE_NUMBER_PR="","",TITLE_NUMBER_PR),TITLE_NUMBER_PR_CHANGE)</f>
        <v/>
      </c>
      <c r="W29" s="2212"/>
      <c r="X29" s="2212"/>
      <c r="Y29" s="2212"/>
      <c r="Z29" s="2212"/>
      <c r="AA29" s="2212"/>
      <c r="AB29" s="2212"/>
      <c r="AC29" s="2212"/>
      <c r="AD29" s="2212"/>
      <c r="AE29" s="2212"/>
      <c r="AF29" s="263"/>
      <c r="AG29" s="2212" t="str">
        <f>IF(TITLE_NUMBER_PR_CHANGE="",IF(TITLE_NUMBER_PR="","",TITLE_NUMBER_PR),TITLE_NUMBER_PR_CHANGE)</f>
        <v/>
      </c>
      <c r="AH29" s="2212"/>
      <c r="AI29" s="2212"/>
      <c r="AJ29" s="2212"/>
      <c r="AK29" s="2212"/>
      <c r="AL29" s="2212"/>
      <c r="AM29" s="2212"/>
      <c r="AN29" s="2212"/>
      <c r="AO29" s="2212"/>
      <c r="AP29" s="2212"/>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10" t="s">
        <v>43</v>
      </c>
      <c r="T30" s="2210"/>
      <c r="U30" s="1299"/>
      <c r="V30" s="2212" t="str">
        <f>IF(TITLE_IST_PUB_CHANGE="",IF(TITLE_IST_PUB="","",TITLE_IST_PUB),TITLE_IST_PUB_CHANGE)</f>
        <v/>
      </c>
      <c r="W30" s="2212"/>
      <c r="X30" s="2212"/>
      <c r="Y30" s="2212"/>
      <c r="Z30" s="2212"/>
      <c r="AA30" s="2212"/>
      <c r="AB30" s="2212"/>
      <c r="AC30" s="2212"/>
      <c r="AD30" s="2212"/>
      <c r="AE30" s="2212"/>
      <c r="AF30" s="263"/>
      <c r="AG30" s="2212" t="str">
        <f>IF(TITLE_IST_PUB_CHANGE="",IF(TITLE_IST_PUB="","",TITLE_IST_PUB),TITLE_IST_PUB_CHANGE)</f>
        <v/>
      </c>
      <c r="AH30" s="2212"/>
      <c r="AI30" s="2212"/>
      <c r="AJ30" s="2212"/>
      <c r="AK30" s="2212"/>
      <c r="AL30" s="2212"/>
      <c r="AM30" s="2212"/>
      <c r="AN30" s="2212"/>
      <c r="AO30" s="2212"/>
      <c r="AP30" s="221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10" t="s">
        <v>427</v>
      </c>
      <c r="T32" s="2210"/>
      <c r="U32" s="1299"/>
      <c r="V32" s="2211" t="str">
        <f>IF(TITLE_DATE_PR_CHANGE="",IF(TITLE_DATE_PR="","",TITLE_DATE_PR),TITLE_DATE_PR_CHANGE)</f>
        <v/>
      </c>
      <c r="W32" s="2211"/>
      <c r="X32" s="2211"/>
      <c r="Y32" s="2211"/>
      <c r="Z32" s="2211"/>
      <c r="AA32" s="2211"/>
      <c r="AB32" s="2211"/>
      <c r="AC32" s="2211"/>
      <c r="AD32" s="2211"/>
      <c r="AE32" s="2211"/>
      <c r="AF32" s="263"/>
      <c r="AG32" s="2211" t="str">
        <f>IF(TITLE_DATE_PR_CHANGE="",IF(TITLE_DATE_PR="","",TITLE_DATE_PR),TITLE_DATE_PR_CHANGE)</f>
        <v/>
      </c>
      <c r="AH32" s="2211"/>
      <c r="AI32" s="2211"/>
      <c r="AJ32" s="2211"/>
      <c r="AK32" s="2211"/>
      <c r="AL32" s="2211"/>
      <c r="AM32" s="2211"/>
      <c r="AN32" s="2211"/>
      <c r="AO32" s="2211"/>
      <c r="AP32" s="221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10" t="s">
        <v>428</v>
      </c>
      <c r="T33" s="2210"/>
      <c r="U33" s="1299"/>
      <c r="V33" s="2212" t="str">
        <f>IF(TITLE_NUMBER_PR_CHANGE="",IF(TITLE_NUMBER_PR="","",TITLE_NUMBER_PR),TITLE_NUMBER_PR_CHANGE)</f>
        <v/>
      </c>
      <c r="W33" s="2212"/>
      <c r="X33" s="2212"/>
      <c r="Y33" s="2212"/>
      <c r="Z33" s="2212"/>
      <c r="AA33" s="2212"/>
      <c r="AB33" s="2212"/>
      <c r="AC33" s="2212"/>
      <c r="AD33" s="2212"/>
      <c r="AE33" s="2212"/>
      <c r="AF33" s="263"/>
      <c r="AG33" s="2212" t="str">
        <f>IF(TITLE_NUMBER_PR_CHANGE="",IF(TITLE_NUMBER_PR="","",TITLE_NUMBER_PR),TITLE_NUMBER_PR_CHANGE)</f>
        <v/>
      </c>
      <c r="AH33" s="2212"/>
      <c r="AI33" s="2212"/>
      <c r="AJ33" s="2212"/>
      <c r="AK33" s="2212"/>
      <c r="AL33" s="2212"/>
      <c r="AM33" s="2212"/>
      <c r="AN33" s="2212"/>
      <c r="AO33" s="2212"/>
      <c r="AP33" s="2212"/>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429</v>
      </c>
      <c r="AG34" s="263"/>
      <c r="AH34" s="1562"/>
      <c r="AI34" s="1562"/>
      <c r="AJ34" s="1562"/>
      <c r="AK34" s="1562"/>
      <c r="AL34" s="1562"/>
      <c r="AM34" s="263"/>
      <c r="AN34" s="263"/>
      <c r="AO34" s="263"/>
      <c r="AP34" s="263"/>
      <c r="AQ34" s="215" t="s">
        <v>429</v>
      </c>
      <c r="AT34" s="305"/>
      <c r="AU34" s="305"/>
      <c r="AV34" s="305"/>
      <c r="AW34" s="305"/>
      <c r="AX34" s="305"/>
      <c r="AY34" s="355">
        <v>1</v>
      </c>
    </row>
    <row r="35" spans="1:51" ht="14.65" customHeight="1">
      <c r="Q35" s="313"/>
      <c r="R35" s="313"/>
      <c r="S35" s="1202"/>
      <c r="T35" s="300"/>
      <c r="U35" s="1171"/>
      <c r="V35" s="2231"/>
      <c r="W35" s="2231"/>
      <c r="X35" s="2231"/>
      <c r="Y35" s="2231"/>
      <c r="Z35" s="2231"/>
      <c r="AA35" s="2231"/>
      <c r="AB35" s="2231"/>
      <c r="AC35" s="2231"/>
      <c r="AD35" s="2231"/>
      <c r="AE35" s="2231"/>
      <c r="AF35" s="2231"/>
      <c r="AG35" s="2231"/>
      <c r="AH35" s="2231"/>
      <c r="AI35" s="2231"/>
      <c r="AJ35" s="2231"/>
      <c r="AK35" s="2231"/>
      <c r="AL35" s="2231"/>
      <c r="AM35" s="2231"/>
      <c r="AN35" s="2231"/>
      <c r="AO35" s="2231"/>
      <c r="AP35" s="2231"/>
      <c r="AQ35" s="2231"/>
      <c r="AY35" s="1082">
        <v>14</v>
      </c>
    </row>
    <row r="36" spans="1:51" ht="14.65" customHeight="1">
      <c r="Q36" s="313"/>
      <c r="R36" s="313"/>
      <c r="S36" s="2091" t="s">
        <v>302</v>
      </c>
      <c r="T36" s="2091"/>
      <c r="U36" s="2091"/>
      <c r="V36" s="2091"/>
      <c r="W36" s="2091"/>
      <c r="X36" s="2091"/>
      <c r="Y36" s="2091"/>
      <c r="Z36" s="2091"/>
      <c r="AA36" s="2091"/>
      <c r="AB36" s="2091"/>
      <c r="AC36" s="2091"/>
      <c r="AD36" s="2091"/>
      <c r="AE36" s="2091"/>
      <c r="AF36" s="2091"/>
      <c r="AG36" s="2091"/>
      <c r="AH36" s="2091"/>
      <c r="AI36" s="2091"/>
      <c r="AJ36" s="2091"/>
      <c r="AK36" s="2091"/>
      <c r="AL36" s="2091"/>
      <c r="AM36" s="2091"/>
      <c r="AN36" s="2091"/>
      <c r="AO36" s="2091"/>
      <c r="AP36" s="2091"/>
      <c r="AQ36" s="2091"/>
      <c r="AR36" s="2091"/>
      <c r="AS36" s="2091" t="s">
        <v>303</v>
      </c>
      <c r="AY36" s="1082">
        <v>14</v>
      </c>
    </row>
    <row r="37" spans="1:51" ht="14.65" customHeight="1">
      <c r="Q37" s="313"/>
      <c r="R37" s="313"/>
      <c r="S37" s="2232" t="s">
        <v>87</v>
      </c>
      <c r="T37" s="2180" t="s">
        <v>430</v>
      </c>
      <c r="U37" s="238"/>
      <c r="V37" s="2233" t="s">
        <v>431</v>
      </c>
      <c r="W37" s="2234"/>
      <c r="X37" s="2234"/>
      <c r="Y37" s="2234"/>
      <c r="Z37" s="2234"/>
      <c r="AA37" s="2234"/>
      <c r="AB37" s="2234"/>
      <c r="AC37" s="2234"/>
      <c r="AD37" s="2234"/>
      <c r="AE37" s="2235"/>
      <c r="AF37" s="2236" t="s">
        <v>432</v>
      </c>
      <c r="AG37" s="2233" t="s">
        <v>431</v>
      </c>
      <c r="AH37" s="2234"/>
      <c r="AI37" s="2234"/>
      <c r="AJ37" s="2234"/>
      <c r="AK37" s="2234"/>
      <c r="AL37" s="2234"/>
      <c r="AM37" s="2234"/>
      <c r="AN37" s="2234"/>
      <c r="AO37" s="2234"/>
      <c r="AP37" s="2235"/>
      <c r="AQ37" s="2236" t="s">
        <v>433</v>
      </c>
      <c r="AR37" s="2239" t="s">
        <v>434</v>
      </c>
      <c r="AS37" s="2091"/>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32"/>
      <c r="T38" s="2180"/>
      <c r="U38" s="961"/>
      <c r="V38" s="2091" t="s">
        <v>534</v>
      </c>
      <c r="W38" s="2303" t="s">
        <v>535</v>
      </c>
      <c r="X38" s="2303"/>
      <c r="Y38" s="2303"/>
      <c r="Z38" s="2303" t="s">
        <v>536</v>
      </c>
      <c r="AA38" s="2303"/>
      <c r="AB38" s="2303"/>
      <c r="AC38" s="2151" t="s">
        <v>438</v>
      </c>
      <c r="AD38" s="2261"/>
      <c r="AE38" s="2152"/>
      <c r="AF38" s="2237"/>
      <c r="AG38" s="2091" t="s">
        <v>534</v>
      </c>
      <c r="AH38" s="2303" t="s">
        <v>535</v>
      </c>
      <c r="AI38" s="2303"/>
      <c r="AJ38" s="2303"/>
      <c r="AK38" s="2303" t="s">
        <v>536</v>
      </c>
      <c r="AL38" s="2303"/>
      <c r="AM38" s="2303"/>
      <c r="AN38" s="2151" t="s">
        <v>438</v>
      </c>
      <c r="AO38" s="2261"/>
      <c r="AP38" s="2152"/>
      <c r="AQ38" s="2237"/>
      <c r="AR38" s="2240"/>
      <c r="AS38" s="2091"/>
      <c r="AT38" s="1563"/>
      <c r="AU38" s="1563"/>
      <c r="AV38" s="1563"/>
      <c r="AW38" s="1563"/>
      <c r="AX38" s="1563"/>
      <c r="AY38" s="1558">
        <v>19</v>
      </c>
    </row>
    <row r="39" spans="1:51" ht="19.899999999999999" customHeight="1">
      <c r="Q39" s="313"/>
      <c r="R39" s="313"/>
      <c r="S39" s="2232"/>
      <c r="T39" s="2180"/>
      <c r="U39" s="961"/>
      <c r="V39" s="2091"/>
      <c r="W39" s="2303" t="s">
        <v>537</v>
      </c>
      <c r="X39" s="2303" t="s">
        <v>538</v>
      </c>
      <c r="Y39" s="2303"/>
      <c r="Z39" s="2303" t="s">
        <v>539</v>
      </c>
      <c r="AA39" s="2303" t="s">
        <v>538</v>
      </c>
      <c r="AB39" s="2303"/>
      <c r="AC39" s="2156"/>
      <c r="AD39" s="2262"/>
      <c r="AE39" s="2157"/>
      <c r="AF39" s="2237"/>
      <c r="AG39" s="2091"/>
      <c r="AH39" s="2303" t="s">
        <v>537</v>
      </c>
      <c r="AI39" s="2303" t="s">
        <v>538</v>
      </c>
      <c r="AJ39" s="2303"/>
      <c r="AK39" s="2303" t="s">
        <v>539</v>
      </c>
      <c r="AL39" s="2303" t="s">
        <v>538</v>
      </c>
      <c r="AM39" s="2303"/>
      <c r="AN39" s="2156"/>
      <c r="AO39" s="2262"/>
      <c r="AP39" s="2157"/>
      <c r="AQ39" s="2237"/>
      <c r="AR39" s="2240"/>
      <c r="AS39" s="2091"/>
      <c r="AY39" s="1082">
        <v>19</v>
      </c>
    </row>
    <row r="40" spans="1:51" ht="61.9" customHeight="1">
      <c r="A40" s="1297"/>
      <c r="B40" s="1297" t="s">
        <v>139</v>
      </c>
      <c r="C40" s="1297" t="s">
        <v>140</v>
      </c>
      <c r="D40" s="1297" t="s">
        <v>141</v>
      </c>
      <c r="E40" s="1291" t="s">
        <v>439</v>
      </c>
      <c r="F40" s="1291" t="s">
        <v>440</v>
      </c>
      <c r="G40" s="1291" t="s">
        <v>441</v>
      </c>
      <c r="H40" s="1291"/>
      <c r="I40" s="1291" t="s">
        <v>492</v>
      </c>
      <c r="J40" s="1291" t="s">
        <v>444</v>
      </c>
      <c r="K40" s="1291" t="s">
        <v>493</v>
      </c>
      <c r="L40" s="1291" t="s">
        <v>420</v>
      </c>
      <c r="Q40" s="313"/>
      <c r="R40" s="313"/>
      <c r="S40" s="2232"/>
      <c r="T40" s="2180"/>
      <c r="U40" s="239"/>
      <c r="V40" s="2091"/>
      <c r="W40" s="2303"/>
      <c r="X40" s="1906" t="s">
        <v>540</v>
      </c>
      <c r="Y40" s="1906" t="s">
        <v>541</v>
      </c>
      <c r="Z40" s="2303"/>
      <c r="AA40" s="1906" t="s">
        <v>542</v>
      </c>
      <c r="AB40" s="1906" t="s">
        <v>543</v>
      </c>
      <c r="AC40" s="1416" t="s">
        <v>448</v>
      </c>
      <c r="AD40" s="2185" t="s">
        <v>449</v>
      </c>
      <c r="AE40" s="2199"/>
      <c r="AF40" s="2238"/>
      <c r="AG40" s="2091"/>
      <c r="AH40" s="2303"/>
      <c r="AI40" s="1906" t="s">
        <v>540</v>
      </c>
      <c r="AJ40" s="1906" t="s">
        <v>541</v>
      </c>
      <c r="AK40" s="2303"/>
      <c r="AL40" s="1906" t="s">
        <v>542</v>
      </c>
      <c r="AM40" s="1906" t="s">
        <v>543</v>
      </c>
      <c r="AN40" s="1416" t="s">
        <v>448</v>
      </c>
      <c r="AO40" s="2185" t="s">
        <v>449</v>
      </c>
      <c r="AP40" s="2199"/>
      <c r="AQ40" s="2238"/>
      <c r="AR40" s="2241"/>
      <c r="AS40" s="209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230">
        <f ca="1">OFFSET(AD41,0,-1)+1</f>
        <v>3</v>
      </c>
      <c r="AE41" s="2230"/>
      <c r="AF41" s="1409">
        <f ca="1">OFFSET(AF41,0,-2)+1</f>
        <v>4</v>
      </c>
      <c r="AG41" s="1409">
        <f ca="1">OFFSET(AG41,0,-1)+1</f>
        <v>5</v>
      </c>
      <c r="AH41" s="1902"/>
      <c r="AI41" s="1902"/>
      <c r="AJ41" s="1902"/>
      <c r="AK41" s="1902"/>
      <c r="AL41" s="1902"/>
      <c r="AM41" s="1409">
        <f ca="1">OFFSET(AM41,0,-1)+1</f>
        <v>1</v>
      </c>
      <c r="AN41" s="1409">
        <f ca="1">OFFSET(AN41,0,-1)+1</f>
        <v>2</v>
      </c>
      <c r="AO41" s="2230">
        <f ca="1">OFFSET(AO41,0,-1)+1</f>
        <v>3</v>
      </c>
      <c r="AP41" s="2230"/>
      <c r="AQ41" s="1409">
        <f ca="1">OFFSET(AQ41,0,-2)+1</f>
        <v>4</v>
      </c>
      <c r="AR41" s="1172">
        <f ca="1">OFFSET(AR41,0,-1)</f>
        <v>4</v>
      </c>
      <c r="AS41" s="1409">
        <f ca="1">OFFSET(AS41,0,-1)+1</f>
        <v>5</v>
      </c>
      <c r="AT41" s="448"/>
      <c r="AU41" s="448"/>
      <c r="AV41" s="448"/>
      <c r="AW41" s="448"/>
      <c r="AX41" s="448"/>
      <c r="AY41" s="433">
        <v>0</v>
      </c>
    </row>
    <row r="42" spans="1:51" ht="24" customHeight="1">
      <c r="A42" s="1290" t="s">
        <v>258</v>
      </c>
      <c r="B42" s="1290"/>
      <c r="C42" s="1290"/>
      <c r="D42" s="1290"/>
      <c r="E42" s="221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127</v>
      </c>
      <c r="U42" s="237"/>
      <c r="V42" s="2213"/>
      <c r="W42" s="2214"/>
      <c r="X42" s="2214"/>
      <c r="Y42" s="2214"/>
      <c r="Z42" s="2214"/>
      <c r="AA42" s="2214"/>
      <c r="AB42" s="2214"/>
      <c r="AC42" s="2214"/>
      <c r="AD42" s="2214"/>
      <c r="AE42" s="2214"/>
      <c r="AF42" s="2215"/>
      <c r="AG42" s="2213" t="str">
        <f>INDEX(PT_DIFFERENTIATION_NTAR,MATCH(A42,PT_DIFFERENTIATION_NTAR_ID,0))</f>
        <v/>
      </c>
      <c r="AH42" s="2214"/>
      <c r="AI42" s="2214"/>
      <c r="AJ42" s="2214"/>
      <c r="AK42" s="2214"/>
      <c r="AL42" s="2214"/>
      <c r="AM42" s="2214"/>
      <c r="AN42" s="2214"/>
      <c r="AO42" s="2214"/>
      <c r="AP42" s="2214"/>
      <c r="AQ42" s="2214"/>
      <c r="AR42" s="221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258</v>
      </c>
      <c r="B43" s="1290" t="s">
        <v>259</v>
      </c>
      <c r="C43" s="1290"/>
      <c r="D43" s="1290"/>
      <c r="E43" s="2220"/>
      <c r="F43" s="2219">
        <v>1</v>
      </c>
      <c r="G43" s="1290"/>
      <c r="H43" s="1290"/>
      <c r="I43" s="1290"/>
      <c r="J43" s="1290"/>
      <c r="K43" s="1290"/>
      <c r="L43" s="1291"/>
      <c r="M43" s="1292"/>
      <c r="N43" s="1292"/>
      <c r="O43" s="1292"/>
      <c r="P43" s="1414"/>
      <c r="Q43" s="289"/>
      <c r="R43" s="290"/>
      <c r="S43" s="1420" t="str">
        <f>INDEX(PT_DIFFERENTIATION_NUM_TER,MATCH(B43,PT_DIFFERENTIATION_TER_ID,0))</f>
        <v>.</v>
      </c>
      <c r="T43" s="245" t="s">
        <v>399</v>
      </c>
      <c r="U43" s="237"/>
      <c r="V43" s="2213"/>
      <c r="W43" s="2214"/>
      <c r="X43" s="2214"/>
      <c r="Y43" s="2214"/>
      <c r="Z43" s="2214"/>
      <c r="AA43" s="2214"/>
      <c r="AB43" s="2214"/>
      <c r="AC43" s="2214"/>
      <c r="AD43" s="2214"/>
      <c r="AE43" s="2214"/>
      <c r="AF43" s="2215"/>
      <c r="AG43" s="2213" t="str">
        <f>INDEX(PT_DIFFERENTIATION_TER,MATCH(B43,PT_DIFFERENTIATION_TER_ID,0))</f>
        <v/>
      </c>
      <c r="AH43" s="2214"/>
      <c r="AI43" s="2214"/>
      <c r="AJ43" s="2214"/>
      <c r="AK43" s="2214"/>
      <c r="AL43" s="2214"/>
      <c r="AM43" s="2214"/>
      <c r="AN43" s="2214"/>
      <c r="AO43" s="2214"/>
      <c r="AP43" s="2214"/>
      <c r="AQ43" s="2214"/>
      <c r="AR43" s="2215"/>
      <c r="AS43" s="1185" t="s">
        <v>400</v>
      </c>
      <c r="AU43" s="437"/>
      <c r="AV43" s="437" t="str">
        <f t="shared" si="1"/>
        <v>Территория действия тарифа</v>
      </c>
      <c r="AW43" s="437"/>
      <c r="AX43" s="437"/>
      <c r="AY43" s="1082">
        <v>23</v>
      </c>
    </row>
    <row r="44" spans="1:51" ht="24" customHeight="1">
      <c r="A44" s="1290" t="s">
        <v>258</v>
      </c>
      <c r="B44" s="1290" t="s">
        <v>259</v>
      </c>
      <c r="C44" s="1290" t="s">
        <v>260</v>
      </c>
      <c r="D44" s="1290"/>
      <c r="E44" s="2220"/>
      <c r="F44" s="2220"/>
      <c r="G44" s="2219">
        <v>1</v>
      </c>
      <c r="H44" s="1290"/>
      <c r="I44" s="1290"/>
      <c r="J44" s="1290"/>
      <c r="K44" s="1290"/>
      <c r="L44" s="1291"/>
      <c r="M44" s="1292"/>
      <c r="N44" s="1292"/>
      <c r="O44" s="1292"/>
      <c r="P44" s="291"/>
      <c r="Q44" s="289"/>
      <c r="R44" s="290"/>
      <c r="S44" s="1420" t="str">
        <f>INDEX(PT_DIFFERENTIATION_NUM_CS,MATCH(C44,PT_DIFFERENTIATION_CS_ID,0))</f>
        <v>..</v>
      </c>
      <c r="T44" s="246" t="s">
        <v>532</v>
      </c>
      <c r="U44" s="237"/>
      <c r="V44" s="2213"/>
      <c r="W44" s="2214"/>
      <c r="X44" s="2214"/>
      <c r="Y44" s="2214"/>
      <c r="Z44" s="2214"/>
      <c r="AA44" s="2214"/>
      <c r="AB44" s="2214"/>
      <c r="AC44" s="2214"/>
      <c r="AD44" s="2214"/>
      <c r="AE44" s="2214"/>
      <c r="AF44" s="2215"/>
      <c r="AG44" s="2213" t="str">
        <f>INDEX(PT_DIFFERENTIATION_CS,MATCH(C44,PT_DIFFERENTIATION_CS_ID,0))</f>
        <v/>
      </c>
      <c r="AH44" s="2214"/>
      <c r="AI44" s="2214"/>
      <c r="AJ44" s="2214"/>
      <c r="AK44" s="2214"/>
      <c r="AL44" s="2214"/>
      <c r="AM44" s="2214"/>
      <c r="AN44" s="2214"/>
      <c r="AO44" s="2214"/>
      <c r="AP44" s="2214"/>
      <c r="AQ44" s="2214"/>
      <c r="AR44" s="2215"/>
      <c r="AS44" s="1185" t="s">
        <v>533</v>
      </c>
      <c r="AU44" s="437"/>
      <c r="AV44" s="437" t="str">
        <f t="shared" si="1"/>
        <v>Наименование централизованной системы горячего водоснабжения</v>
      </c>
      <c r="AW44" s="437"/>
      <c r="AX44" s="437"/>
      <c r="AY44" s="1082">
        <v>23</v>
      </c>
    </row>
    <row r="45" spans="1:51" ht="24" customHeight="1">
      <c r="A45" s="1290" t="s">
        <v>258</v>
      </c>
      <c r="B45" s="1290" t="s">
        <v>259</v>
      </c>
      <c r="C45" s="1290" t="s">
        <v>260</v>
      </c>
      <c r="D45" s="1290" t="s">
        <v>545</v>
      </c>
      <c r="E45" s="2220"/>
      <c r="F45" s="2220"/>
      <c r="G45" s="2220"/>
      <c r="H45" s="2220"/>
      <c r="I45" s="2221" t="str">
        <f>S44&amp;".1"</f>
        <v>...1</v>
      </c>
      <c r="J45" s="1290"/>
      <c r="K45" s="1290"/>
      <c r="L45" s="1291"/>
      <c r="P45" s="2223">
        <v>1</v>
      </c>
      <c r="Q45" s="1408"/>
      <c r="R45" s="293"/>
      <c r="S45" s="1420" t="str">
        <f>$I45</f>
        <v>...1</v>
      </c>
      <c r="T45" s="222" t="s">
        <v>485</v>
      </c>
      <c r="U45" s="237"/>
      <c r="V45" s="2287"/>
      <c r="W45" s="2288"/>
      <c r="X45" s="2288"/>
      <c r="Y45" s="2288"/>
      <c r="Z45" s="2288"/>
      <c r="AA45" s="2288"/>
      <c r="AB45" s="2288"/>
      <c r="AC45" s="2288"/>
      <c r="AD45" s="2288"/>
      <c r="AE45" s="2288"/>
      <c r="AF45" s="2289"/>
      <c r="AG45" s="2290"/>
      <c r="AH45" s="2291"/>
      <c r="AI45" s="2291"/>
      <c r="AJ45" s="2291"/>
      <c r="AK45" s="2291"/>
      <c r="AL45" s="2291"/>
      <c r="AM45" s="2291"/>
      <c r="AN45" s="2291"/>
      <c r="AO45" s="2291"/>
      <c r="AP45" s="2291"/>
      <c r="AQ45" s="2291"/>
      <c r="AR45" s="2292"/>
      <c r="AS45" s="1185" t="s">
        <v>486</v>
      </c>
      <c r="AU45" s="437"/>
      <c r="AV45" s="437" t="str">
        <f t="shared" si="1"/>
        <v>Наименование признака дифференциации</v>
      </c>
      <c r="AW45" s="437"/>
      <c r="AX45" s="437"/>
      <c r="AY45" s="1082">
        <v>23</v>
      </c>
    </row>
    <row r="46" spans="1:51" ht="24" customHeight="1">
      <c r="A46" s="1290" t="s">
        <v>258</v>
      </c>
      <c r="B46" s="1290" t="s">
        <v>259</v>
      </c>
      <c r="C46" s="1290" t="s">
        <v>260</v>
      </c>
      <c r="D46" s="1290" t="s">
        <v>545</v>
      </c>
      <c r="E46" s="2220"/>
      <c r="F46" s="2220"/>
      <c r="G46" s="2220"/>
      <c r="H46" s="2220"/>
      <c r="I46" s="2222"/>
      <c r="J46" s="2221" t="str">
        <f>I45&amp;".1"</f>
        <v>...1.1</v>
      </c>
      <c r="K46" s="1290"/>
      <c r="L46" s="1291" t="s">
        <v>408</v>
      </c>
      <c r="P46" s="2223"/>
      <c r="Q46" s="2223">
        <v>1</v>
      </c>
      <c r="R46" s="294"/>
      <c r="S46" s="1420" t="str">
        <f>$J46</f>
        <v>...1.1</v>
      </c>
      <c r="T46" s="223" t="s">
        <v>409</v>
      </c>
      <c r="U46" s="237"/>
      <c r="V46" s="2207"/>
      <c r="W46" s="2208"/>
      <c r="X46" s="2208"/>
      <c r="Y46" s="2208"/>
      <c r="Z46" s="2208"/>
      <c r="AA46" s="2208"/>
      <c r="AB46" s="2208"/>
      <c r="AC46" s="2208"/>
      <c r="AD46" s="2208"/>
      <c r="AE46" s="2208"/>
      <c r="AF46" s="2209"/>
      <c r="AG46" s="2207"/>
      <c r="AH46" s="2208"/>
      <c r="AI46" s="2208"/>
      <c r="AJ46" s="2208"/>
      <c r="AK46" s="2208"/>
      <c r="AL46" s="2208"/>
      <c r="AM46" s="2208"/>
      <c r="AN46" s="2208"/>
      <c r="AO46" s="2208"/>
      <c r="AP46" s="2208"/>
      <c r="AQ46" s="2208"/>
      <c r="AR46" s="2209"/>
      <c r="AS46" s="1234" t="s">
        <v>487</v>
      </c>
      <c r="AU46" s="437"/>
      <c r="AV46" s="437" t="str">
        <f t="shared" si="1"/>
        <v>Группа потребителей</v>
      </c>
      <c r="AW46" s="437"/>
      <c r="AX46" s="437"/>
      <c r="AY46" s="1082">
        <v>23</v>
      </c>
    </row>
    <row r="47" spans="1:51" ht="24" customHeight="1">
      <c r="A47" s="1290" t="s">
        <v>258</v>
      </c>
      <c r="B47" s="1290" t="s">
        <v>259</v>
      </c>
      <c r="C47" s="1290" t="s">
        <v>260</v>
      </c>
      <c r="D47" s="1290" t="s">
        <v>545</v>
      </c>
      <c r="E47" s="2220"/>
      <c r="F47" s="2220"/>
      <c r="G47" s="2220"/>
      <c r="H47" s="2220"/>
      <c r="I47" s="2222"/>
      <c r="J47" s="2222"/>
      <c r="K47" s="2221" t="str">
        <f>J46&amp;".1"</f>
        <v>...1.1.1</v>
      </c>
      <c r="L47" s="1291"/>
      <c r="P47" s="2223"/>
      <c r="Q47" s="2223"/>
      <c r="R47" s="294">
        <v>1</v>
      </c>
      <c r="S47" s="1420" t="str">
        <f>$K47</f>
        <v>...1.1.1</v>
      </c>
      <c r="T47" s="1364"/>
      <c r="U47" s="237"/>
      <c r="V47" s="1287"/>
      <c r="W47" s="1287"/>
      <c r="X47" s="1287"/>
      <c r="Y47" s="1287"/>
      <c r="Z47" s="1287"/>
      <c r="AA47" s="1287"/>
      <c r="AB47" s="1288"/>
      <c r="AC47" s="2217"/>
      <c r="AD47" s="2216" t="s">
        <v>65</v>
      </c>
      <c r="AE47" s="2217"/>
      <c r="AF47" s="2216" t="s">
        <v>65</v>
      </c>
      <c r="AG47" s="688"/>
      <c r="AH47" s="688"/>
      <c r="AI47" s="688"/>
      <c r="AJ47" s="688"/>
      <c r="AK47" s="688"/>
      <c r="AL47" s="688"/>
      <c r="AM47" s="1184"/>
      <c r="AN47" s="2224"/>
      <c r="AO47" s="2102" t="s">
        <v>65</v>
      </c>
      <c r="AP47" s="2226"/>
      <c r="AQ47" s="2102" t="s">
        <v>19</v>
      </c>
      <c r="AR47" s="1365"/>
      <c r="AS4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258</v>
      </c>
      <c r="B48" s="1290" t="s">
        <v>259</v>
      </c>
      <c r="C48" s="1290" t="s">
        <v>260</v>
      </c>
      <c r="D48" s="1290" t="s">
        <v>545</v>
      </c>
      <c r="E48" s="2220"/>
      <c r="F48" s="2220"/>
      <c r="G48" s="2220"/>
      <c r="H48" s="2220"/>
      <c r="I48" s="2222"/>
      <c r="J48" s="2222"/>
      <c r="K48" s="2221"/>
      <c r="L48" s="1291"/>
      <c r="P48" s="2223"/>
      <c r="Q48" s="2223"/>
      <c r="R48" s="294"/>
      <c r="S48" s="1417"/>
      <c r="T48" s="237"/>
      <c r="U48" s="237"/>
      <c r="V48" s="1287"/>
      <c r="W48" s="1287"/>
      <c r="X48" s="1287"/>
      <c r="Y48" s="1287"/>
      <c r="Z48" s="1287"/>
      <c r="AA48" s="1287"/>
      <c r="AB48" s="265" t="str">
        <f>AC47&amp;"-"&amp;AE47</f>
        <v>-</v>
      </c>
      <c r="AC48" s="2216"/>
      <c r="AD48" s="2216"/>
      <c r="AE48" s="2216"/>
      <c r="AF48" s="2216"/>
      <c r="AG48" s="262"/>
      <c r="AH48" s="262"/>
      <c r="AI48" s="262"/>
      <c r="AJ48" s="262"/>
      <c r="AK48" s="262"/>
      <c r="AL48" s="262"/>
      <c r="AM48" s="265" t="str">
        <f>AN47&amp;"-"&amp;AP47</f>
        <v>-</v>
      </c>
      <c r="AN48" s="2225"/>
      <c r="AO48" s="2102"/>
      <c r="AP48" s="2227"/>
      <c r="AQ48" s="2102"/>
      <c r="AR48" s="1366"/>
      <c r="AS48" s="2293"/>
      <c r="AU48" s="437"/>
      <c r="AV48" s="437" t="str">
        <f t="shared" si="1"/>
        <v/>
      </c>
      <c r="AW48" s="437"/>
      <c r="AX48" s="437"/>
      <c r="AY48" s="1082">
        <v>0</v>
      </c>
    </row>
    <row r="49" spans="1:51" ht="21" customHeight="1">
      <c r="A49" s="1290" t="s">
        <v>258</v>
      </c>
      <c r="B49" s="1290" t="s">
        <v>259</v>
      </c>
      <c r="C49" s="1290" t="s">
        <v>260</v>
      </c>
      <c r="D49" s="1290" t="s">
        <v>545</v>
      </c>
      <c r="E49" s="2220"/>
      <c r="F49" s="2220"/>
      <c r="G49" s="2220"/>
      <c r="H49" s="2220"/>
      <c r="I49" s="2222"/>
      <c r="J49" s="2221"/>
      <c r="K49" s="1290"/>
      <c r="L49" s="1291"/>
      <c r="P49" s="2223"/>
      <c r="Q49" s="2223"/>
      <c r="R49" s="293"/>
      <c r="S49" s="1205"/>
      <c r="T49" s="224"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258</v>
      </c>
      <c r="B50" s="1290" t="s">
        <v>259</v>
      </c>
      <c r="C50" s="1290" t="s">
        <v>260</v>
      </c>
      <c r="D50" s="1290" t="s">
        <v>545</v>
      </c>
      <c r="E50" s="2220"/>
      <c r="F50" s="2220"/>
      <c r="G50" s="2220"/>
      <c r="H50" s="2220"/>
      <c r="I50" s="2221"/>
      <c r="J50" s="1290"/>
      <c r="K50" s="1290"/>
      <c r="L50" s="1291"/>
      <c r="P50" s="2223"/>
      <c r="Q50" s="1408"/>
      <c r="R50" s="293"/>
      <c r="S50" s="1205"/>
      <c r="T50" s="302" t="s">
        <v>414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258</v>
      </c>
      <c r="B51" s="1290" t="s">
        <v>259</v>
      </c>
      <c r="C51" s="1290" t="s">
        <v>260</v>
      </c>
      <c r="D51" s="1290" t="s">
        <v>545</v>
      </c>
      <c r="E51" s="2220"/>
      <c r="F51" s="2220"/>
      <c r="G51" s="2220"/>
      <c r="H51" s="2219"/>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258</v>
      </c>
      <c r="B52" s="1270" t="s">
        <v>259</v>
      </c>
      <c r="C52" s="1241"/>
      <c r="D52" s="1241"/>
      <c r="E52" s="2220"/>
      <c r="F52" s="2219"/>
      <c r="G52" s="1241"/>
      <c r="H52" s="1241"/>
      <c r="I52" s="1241"/>
      <c r="J52" s="1241"/>
      <c r="K52" s="1241"/>
      <c r="L52" s="1421"/>
      <c r="M52" s="1248"/>
      <c r="N52" s="1248"/>
      <c r="P52" s="1243"/>
      <c r="Q52" s="1244"/>
      <c r="R52" s="1243"/>
      <c r="S52" s="1249"/>
      <c r="T52" s="1252" t="s">
        <v>417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258</v>
      </c>
      <c r="B53" s="1270"/>
      <c r="C53" s="1270"/>
      <c r="D53" s="1270"/>
      <c r="E53" s="2219"/>
      <c r="F53" s="1270"/>
      <c r="G53" s="1270"/>
      <c r="H53" s="1270"/>
      <c r="I53" s="1270"/>
      <c r="J53" s="1270"/>
      <c r="K53" s="1270"/>
      <c r="L53" s="1273"/>
      <c r="M53" s="1248"/>
      <c r="N53" s="1248"/>
      <c r="O53" s="455"/>
      <c r="P53" s="317"/>
      <c r="Q53" s="1271"/>
      <c r="R53" s="317"/>
      <c r="S53" s="1249"/>
      <c r="T53" s="1252" t="s">
        <v>418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18"/>
      <c r="U56" s="2218"/>
      <c r="V56" s="2218"/>
      <c r="W56" s="2218"/>
      <c r="X56" s="2218"/>
      <c r="Y56" s="2218"/>
      <c r="Z56" s="2218"/>
      <c r="AA56" s="2218"/>
      <c r="AB56" s="2218"/>
      <c r="AC56" s="2218"/>
      <c r="AD56" s="2218"/>
      <c r="AE56" s="2218"/>
      <c r="AF56" s="2218"/>
      <c r="AG56" s="2218"/>
      <c r="AH56" s="2218"/>
      <c r="AI56" s="2218"/>
      <c r="AJ56" s="2218"/>
      <c r="AK56" s="2218"/>
      <c r="AL56" s="2218"/>
      <c r="AM56" s="2218"/>
      <c r="AN56" s="2218"/>
      <c r="AO56" s="2218"/>
      <c r="AP56" s="2218"/>
      <c r="AQ56" s="2218"/>
      <c r="AR56" s="2218"/>
      <c r="AS56" s="2218"/>
      <c r="AY56" s="1082">
        <v>14</v>
      </c>
    </row>
    <row r="57" spans="1:51" ht="14.65" customHeight="1">
      <c r="O57" s="474"/>
      <c r="AY57" s="1082">
        <v>14</v>
      </c>
    </row>
    <row r="58" spans="1:51" ht="14.65" customHeight="1">
      <c r="O58" s="474"/>
      <c r="S58" s="1180"/>
      <c r="T58" s="2218"/>
      <c r="U58" s="2218"/>
      <c r="V58" s="2218"/>
      <c r="W58" s="2218"/>
      <c r="X58" s="2218"/>
      <c r="Y58" s="2218"/>
      <c r="Z58" s="2218"/>
      <c r="AA58" s="2218"/>
      <c r="AB58" s="2218"/>
      <c r="AC58" s="2218"/>
      <c r="AD58" s="2218"/>
      <c r="AE58" s="2218"/>
      <c r="AF58" s="2218"/>
      <c r="AG58" s="2218"/>
      <c r="AH58" s="2218"/>
      <c r="AI58" s="2218"/>
      <c r="AJ58" s="2218"/>
      <c r="AK58" s="2218"/>
      <c r="AL58" s="2218"/>
      <c r="AM58" s="2218"/>
      <c r="AN58" s="2218"/>
      <c r="AO58" s="2218"/>
      <c r="AP58" s="2218"/>
      <c r="AQ58" s="2218"/>
      <c r="AR58" s="2218"/>
      <c r="AS58" s="221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19">
        <v>1</v>
      </c>
      <c r="F2" s="1290"/>
      <c r="G2" s="1290"/>
      <c r="H2" s="1290"/>
      <c r="I2" s="1290"/>
      <c r="J2" s="1290"/>
      <c r="K2" s="1290"/>
      <c r="L2" s="1291"/>
      <c r="M2" s="1292"/>
      <c r="N2" s="1292"/>
      <c r="O2" s="1292"/>
      <c r="P2" s="1336"/>
      <c r="Q2" s="804"/>
      <c r="R2" s="292"/>
      <c r="S2" s="1420" t="e">
        <f>INDEX(PT_DIFFERENTIATION_NUM_NTAR,MATCH(A2,PT_DIFFERENTIATION_NTAR_ID,0))</f>
        <v>#N/A</v>
      </c>
      <c r="T2" s="235" t="s">
        <v>127</v>
      </c>
      <c r="U2" s="237"/>
      <c r="V2" s="2214"/>
      <c r="W2" s="2214"/>
      <c r="X2" s="2214"/>
      <c r="Y2" s="2214"/>
      <c r="Z2" s="2214"/>
      <c r="AA2" s="2214"/>
      <c r="AB2" s="2214"/>
      <c r="AC2" s="2215"/>
      <c r="AD2" s="2213" t="e">
        <f>INDEX(PT_DIFFERENTIATION_NTAR,MATCH(A2,PT_DIFFERENTIATION_NTAR_ID,0))</f>
        <v>#N/A</v>
      </c>
      <c r="AE2" s="2214"/>
      <c r="AF2" s="2214"/>
      <c r="AG2" s="2214"/>
      <c r="AH2" s="2214"/>
      <c r="AI2" s="2214"/>
      <c r="AJ2" s="2214"/>
      <c r="AK2" s="2214"/>
      <c r="AL2" s="2214"/>
      <c r="AM2" s="2214"/>
      <c r="AN2" s="2214"/>
      <c r="AO2" s="2214"/>
      <c r="AP2" s="2214"/>
      <c r="AQ2" s="2214"/>
      <c r="AR2" s="2214"/>
      <c r="AS2" s="2214"/>
      <c r="AT2" s="2214"/>
      <c r="AU2" s="2214"/>
      <c r="AV2" s="2214"/>
      <c r="AW2" s="2214"/>
      <c r="AX2" s="2214"/>
      <c r="AY2" s="2214"/>
      <c r="AZ2" s="2214"/>
      <c r="BA2" s="2214"/>
      <c r="BB2" s="221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20"/>
      <c r="F3" s="2219">
        <v>1</v>
      </c>
      <c r="G3" s="1290"/>
      <c r="H3" s="1290"/>
      <c r="I3" s="1290"/>
      <c r="J3" s="1290"/>
      <c r="K3" s="1290"/>
      <c r="L3" s="1291"/>
      <c r="M3" s="1292"/>
      <c r="N3" s="1292"/>
      <c r="O3" s="1292"/>
      <c r="P3" s="1337"/>
      <c r="Q3" s="1338"/>
      <c r="R3" s="290"/>
      <c r="S3" s="1420" t="e">
        <f>INDEX(PT_DIFFERENTIATION_NUM_TER,MATCH(B3,PT_DIFFERENTIATION_TER_ID,0))</f>
        <v>#N/A</v>
      </c>
      <c r="T3" s="245" t="s">
        <v>399</v>
      </c>
      <c r="U3" s="237"/>
      <c r="V3" s="2214"/>
      <c r="W3" s="2214"/>
      <c r="X3" s="2214"/>
      <c r="Y3" s="2214"/>
      <c r="Z3" s="2214"/>
      <c r="AA3" s="2214"/>
      <c r="AB3" s="2214"/>
      <c r="AC3" s="2215"/>
      <c r="AD3" s="2213" t="e">
        <f>INDEX(PT_DIFFERENTIATION_TER,MATCH(B3,PT_DIFFERENTIATION_TER_ID,0))</f>
        <v>#N/A</v>
      </c>
      <c r="AE3" s="2214"/>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4"/>
      <c r="BB3" s="2215"/>
      <c r="BC3" s="1185" t="s">
        <v>400</v>
      </c>
      <c r="BE3" s="437"/>
      <c r="BF3" s="437" t="str">
        <f t="shared" si="0"/>
        <v>Территория действия тарифа</v>
      </c>
      <c r="BG3" s="437"/>
      <c r="BH3" s="437"/>
      <c r="BI3" s="1082">
        <v>0</v>
      </c>
    </row>
    <row r="4" spans="1:61" ht="33.75" hidden="1" customHeight="1">
      <c r="A4" s="1290"/>
      <c r="B4" s="1290"/>
      <c r="C4" s="1290"/>
      <c r="D4" s="1290"/>
      <c r="E4" s="2220"/>
      <c r="F4" s="2220"/>
      <c r="G4" s="2219">
        <v>1</v>
      </c>
      <c r="H4" s="1290"/>
      <c r="I4" s="1290"/>
      <c r="J4" s="1290"/>
      <c r="K4" s="1290"/>
      <c r="L4" s="1291"/>
      <c r="M4" s="1292"/>
      <c r="N4" s="1292"/>
      <c r="O4" s="1292"/>
      <c r="P4" s="1339"/>
      <c r="Q4" s="1338"/>
      <c r="R4" s="290"/>
      <c r="S4" s="1420" t="e">
        <f>INDEX(PT_DIFFERENTIATION_NUM_CS,MATCH(C4,PT_DIFFERENTIATION_CS_ID,0))</f>
        <v>#N/A</v>
      </c>
      <c r="T4" s="246" t="s">
        <v>532</v>
      </c>
      <c r="U4" s="237"/>
      <c r="V4" s="2214"/>
      <c r="W4" s="2214"/>
      <c r="X4" s="2214"/>
      <c r="Y4" s="2214"/>
      <c r="Z4" s="2214"/>
      <c r="AA4" s="2214"/>
      <c r="AB4" s="2214"/>
      <c r="AC4" s="2215"/>
      <c r="AD4" s="2213" t="e">
        <f>INDEX(PT_DIFFERENTIATION_CS,MATCH(C4,PT_DIFFERENTIATION_CS_ID,0))</f>
        <v>#N/A</v>
      </c>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4"/>
      <c r="BB4" s="2215"/>
      <c r="BC4" s="1185" t="s">
        <v>533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20"/>
      <c r="F5" s="2220"/>
      <c r="G5" s="2220"/>
      <c r="H5" s="2219">
        <v>1</v>
      </c>
      <c r="I5" s="1270"/>
      <c r="J5" s="1270"/>
      <c r="K5" s="1270"/>
      <c r="L5" s="1273"/>
      <c r="M5" s="1242"/>
      <c r="N5" s="1242"/>
      <c r="O5" s="1242"/>
      <c r="P5" s="1424"/>
      <c r="Q5" s="1425"/>
      <c r="R5" s="294"/>
      <c r="S5" s="972"/>
      <c r="T5" s="1426"/>
      <c r="U5" s="1311"/>
      <c r="V5" s="2251"/>
      <c r="W5" s="2251"/>
      <c r="X5" s="2251"/>
      <c r="Y5" s="2251"/>
      <c r="Z5" s="2251"/>
      <c r="AA5" s="2251"/>
      <c r="AB5" s="2251"/>
      <c r="AC5" s="2252"/>
      <c r="AD5" s="2250"/>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2"/>
      <c r="BC5" s="1312" t="s">
        <v>404</v>
      </c>
      <c r="BE5" s="437"/>
      <c r="BF5" s="437" t="str">
        <f t="shared" si="0"/>
        <v/>
      </c>
      <c r="BG5" s="437"/>
      <c r="BH5" s="437"/>
      <c r="BI5" s="448">
        <v>0</v>
      </c>
    </row>
    <row r="6" spans="1:61" s="1569" customFormat="1" ht="14.25" hidden="1" customHeight="1">
      <c r="A6" s="1270"/>
      <c r="B6" s="1270"/>
      <c r="C6" s="1270"/>
      <c r="D6" s="1270"/>
      <c r="E6" s="2220"/>
      <c r="F6" s="2220"/>
      <c r="G6" s="2220"/>
      <c r="H6" s="2220"/>
      <c r="I6" s="2221" t="str">
        <f>S5&amp;".1"</f>
        <v>.1</v>
      </c>
      <c r="J6" s="1270"/>
      <c r="K6" s="1270"/>
      <c r="L6" s="1273" t="s">
        <v>405</v>
      </c>
      <c r="M6" s="447"/>
      <c r="N6" s="447"/>
      <c r="O6" s="447"/>
      <c r="P6" s="2223">
        <v>1</v>
      </c>
      <c r="Q6" s="1408"/>
      <c r="R6" s="293"/>
      <c r="S6" s="972"/>
      <c r="T6" s="1310"/>
      <c r="U6" s="1311"/>
      <c r="V6" s="2251"/>
      <c r="W6" s="2251"/>
      <c r="X6" s="2251"/>
      <c r="Y6" s="2251"/>
      <c r="Z6" s="2251"/>
      <c r="AA6" s="2251"/>
      <c r="AB6" s="2251"/>
      <c r="AC6" s="2252"/>
      <c r="AD6" s="2250"/>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2"/>
      <c r="BC6" s="1312"/>
      <c r="BE6" s="437"/>
      <c r="BF6" s="437" t="str">
        <f t="shared" si="0"/>
        <v/>
      </c>
      <c r="BG6" s="437"/>
      <c r="BH6" s="437"/>
      <c r="BI6" s="448">
        <v>0</v>
      </c>
    </row>
    <row r="7" spans="1:61" s="1569" customFormat="1" ht="14.25" hidden="1" customHeight="1">
      <c r="A7" s="1270"/>
      <c r="B7" s="1270"/>
      <c r="C7" s="1270"/>
      <c r="D7" s="1270"/>
      <c r="E7" s="2220"/>
      <c r="F7" s="2220"/>
      <c r="G7" s="2220"/>
      <c r="H7" s="2220"/>
      <c r="I7" s="2222"/>
      <c r="J7" s="2221" t="str">
        <f>S5&amp;".1"</f>
        <v>.1</v>
      </c>
      <c r="K7" s="1270"/>
      <c r="L7" s="1273"/>
      <c r="M7" s="447"/>
      <c r="N7" s="447"/>
      <c r="O7" s="447"/>
      <c r="P7" s="2223"/>
      <c r="Q7" s="2223">
        <v>1</v>
      </c>
      <c r="R7" s="294"/>
      <c r="S7" s="972"/>
      <c r="T7" s="1326"/>
      <c r="U7" s="1311"/>
      <c r="V7" s="2251"/>
      <c r="W7" s="2251"/>
      <c r="X7" s="2251"/>
      <c r="Y7" s="2251"/>
      <c r="Z7" s="2251"/>
      <c r="AA7" s="2251"/>
      <c r="AB7" s="2251"/>
      <c r="AC7" s="2252"/>
      <c r="AD7" s="2250"/>
      <c r="AE7" s="2251"/>
      <c r="AF7" s="2251"/>
      <c r="AG7" s="2251"/>
      <c r="AH7" s="2251"/>
      <c r="AI7" s="2251"/>
      <c r="AJ7" s="2251"/>
      <c r="AK7" s="2251"/>
      <c r="AL7" s="2251"/>
      <c r="AM7" s="2251"/>
      <c r="AN7" s="2251"/>
      <c r="AO7" s="2251"/>
      <c r="AP7" s="2251"/>
      <c r="AQ7" s="2251"/>
      <c r="AR7" s="2251"/>
      <c r="AS7" s="2251"/>
      <c r="AT7" s="2251"/>
      <c r="AU7" s="2251"/>
      <c r="AV7" s="2251"/>
      <c r="AW7" s="2251"/>
      <c r="AX7" s="2251"/>
      <c r="AY7" s="2251"/>
      <c r="AZ7" s="2251"/>
      <c r="BA7" s="2251"/>
      <c r="BB7" s="2252"/>
      <c r="BC7" s="1312"/>
      <c r="BE7" s="437"/>
      <c r="BF7" s="437" t="str">
        <f t="shared" si="0"/>
        <v/>
      </c>
      <c r="BG7" s="437"/>
      <c r="BH7" s="437"/>
      <c r="BI7" s="448">
        <v>0</v>
      </c>
    </row>
    <row r="8" spans="1:61" ht="11.25" hidden="1" customHeight="1">
      <c r="A8" s="1290"/>
      <c r="B8" s="1290"/>
      <c r="C8" s="1290"/>
      <c r="D8" s="1290"/>
      <c r="E8" s="2220"/>
      <c r="F8" s="2220"/>
      <c r="G8" s="2220"/>
      <c r="H8" s="2220"/>
      <c r="I8" s="2222"/>
      <c r="J8" s="2222"/>
      <c r="K8" s="2221" t="e">
        <f>S4&amp;".1"</f>
        <v>#N/A</v>
      </c>
      <c r="L8" s="1291"/>
      <c r="P8" s="2223"/>
      <c r="Q8" s="2223"/>
      <c r="R8" s="2279">
        <v>1</v>
      </c>
      <c r="S8" s="2276" t="e">
        <f>$K8</f>
        <v>#N/A</v>
      </c>
      <c r="T8" s="2296"/>
      <c r="U8" s="237"/>
      <c r="V8" s="688"/>
      <c r="W8" s="1184"/>
      <c r="X8" s="688"/>
      <c r="Y8" s="1184"/>
      <c r="Z8" s="1661"/>
      <c r="AA8" s="1396" t="s">
        <v>65</v>
      </c>
      <c r="AB8" s="1661"/>
      <c r="AC8" s="1396" t="s">
        <v>65</v>
      </c>
      <c r="AD8" s="2163" t="s">
        <v>65</v>
      </c>
      <c r="AE8" s="2272"/>
      <c r="AF8" s="2176">
        <v>1</v>
      </c>
      <c r="AG8" s="2295"/>
      <c r="AH8" s="2102" t="s">
        <v>65</v>
      </c>
      <c r="AI8" s="2272"/>
      <c r="AJ8" s="2176">
        <v>1</v>
      </c>
      <c r="AK8" s="2286" t="s">
        <v>22</v>
      </c>
      <c r="AL8" s="2102" t="s">
        <v>65</v>
      </c>
      <c r="AM8" s="2151"/>
      <c r="AN8" s="2176">
        <v>1</v>
      </c>
      <c r="AO8" s="2299"/>
      <c r="AP8" s="2300" t="s">
        <v>65</v>
      </c>
      <c r="AQ8" s="248"/>
      <c r="AR8" s="1413">
        <v>1</v>
      </c>
      <c r="AS8" s="1419" t="s">
        <v>22</v>
      </c>
      <c r="AT8" s="688"/>
      <c r="AU8" s="1184"/>
      <c r="AV8" s="688"/>
      <c r="AW8" s="1184"/>
      <c r="AX8" s="1661"/>
      <c r="AY8" s="1396" t="s">
        <v>65</v>
      </c>
      <c r="AZ8" s="1661"/>
      <c r="BA8" s="1396" t="s">
        <v>65</v>
      </c>
      <c r="BB8" s="1275"/>
      <c r="BC8" s="2242" t="s">
        <v>503</v>
      </c>
      <c r="BE8" s="437"/>
      <c r="BF8" s="437" t="str">
        <f t="shared" si="0"/>
        <v/>
      </c>
      <c r="BG8" s="437"/>
      <c r="BH8" s="437"/>
      <c r="BI8" s="1082">
        <v>0</v>
      </c>
    </row>
    <row r="9" spans="1:61" ht="11.25" hidden="1" customHeight="1">
      <c r="A9" s="1290"/>
      <c r="B9" s="1290"/>
      <c r="C9" s="1290"/>
      <c r="D9" s="1290"/>
      <c r="E9" s="2220"/>
      <c r="F9" s="2220"/>
      <c r="G9" s="2220"/>
      <c r="H9" s="2220"/>
      <c r="I9" s="2222"/>
      <c r="J9" s="2222"/>
      <c r="K9" s="2221"/>
      <c r="L9" s="1291"/>
      <c r="P9" s="2223"/>
      <c r="Q9" s="2223"/>
      <c r="R9" s="2279"/>
      <c r="S9" s="2277"/>
      <c r="T9" s="2297"/>
      <c r="U9" s="237"/>
      <c r="V9" s="1320"/>
      <c r="W9" s="1423"/>
      <c r="X9" s="1320"/>
      <c r="Y9" s="1423"/>
      <c r="Z9" s="1320"/>
      <c r="AA9" s="1320"/>
      <c r="AB9" s="1320"/>
      <c r="AC9" s="1320"/>
      <c r="AD9" s="2164"/>
      <c r="AE9" s="2272"/>
      <c r="AF9" s="2176"/>
      <c r="AG9" s="2295"/>
      <c r="AH9" s="2102"/>
      <c r="AI9" s="2272"/>
      <c r="AJ9" s="2176"/>
      <c r="AK9" s="2286"/>
      <c r="AL9" s="2102"/>
      <c r="AM9" s="2156"/>
      <c r="AN9" s="2176"/>
      <c r="AO9" s="2299"/>
      <c r="AP9" s="2301"/>
      <c r="AQ9" s="253"/>
      <c r="AR9" s="353"/>
      <c r="AS9" s="353" t="s">
        <v>504</v>
      </c>
      <c r="AT9" s="1320"/>
      <c r="AU9" s="1423"/>
      <c r="AV9" s="1320"/>
      <c r="AW9" s="1423"/>
      <c r="AX9" s="1320"/>
      <c r="AY9" s="1320"/>
      <c r="AZ9" s="1320"/>
      <c r="BA9" s="1320"/>
      <c r="BB9" s="1324"/>
      <c r="BC9" s="2243"/>
      <c r="BE9" s="437"/>
      <c r="BF9" s="437"/>
      <c r="BG9" s="437"/>
      <c r="BH9" s="437"/>
      <c r="BI9" s="1082">
        <v>0</v>
      </c>
    </row>
    <row r="10" spans="1:61" ht="11.25" hidden="1" customHeight="1">
      <c r="A10" s="1290"/>
      <c r="B10" s="1290"/>
      <c r="C10" s="1290"/>
      <c r="D10" s="1290"/>
      <c r="E10" s="2220"/>
      <c r="F10" s="2220"/>
      <c r="G10" s="2220"/>
      <c r="H10" s="2220"/>
      <c r="I10" s="2222"/>
      <c r="J10" s="2222"/>
      <c r="K10" s="2221"/>
      <c r="L10" s="1291"/>
      <c r="P10" s="2223"/>
      <c r="Q10" s="2223"/>
      <c r="R10" s="2279"/>
      <c r="S10" s="2277"/>
      <c r="T10" s="2297"/>
      <c r="U10" s="237"/>
      <c r="V10" s="1320"/>
      <c r="W10" s="1423"/>
      <c r="X10" s="1320"/>
      <c r="Y10" s="1423"/>
      <c r="Z10" s="1320"/>
      <c r="AA10" s="1320"/>
      <c r="AB10" s="1320"/>
      <c r="AC10" s="1320"/>
      <c r="AD10" s="2164"/>
      <c r="AE10" s="2272"/>
      <c r="AF10" s="2176"/>
      <c r="AG10" s="2295"/>
      <c r="AH10" s="2102"/>
      <c r="AI10" s="2272"/>
      <c r="AJ10" s="2176"/>
      <c r="AK10" s="2286"/>
      <c r="AL10" s="2102"/>
      <c r="AM10" s="253"/>
      <c r="AN10" s="1427"/>
      <c r="AO10" s="1427" t="s">
        <v>505</v>
      </c>
      <c r="AP10" s="353"/>
      <c r="AQ10" s="353"/>
      <c r="AR10" s="353"/>
      <c r="AS10" s="1320"/>
      <c r="AT10" s="1320"/>
      <c r="AU10" s="1423"/>
      <c r="AV10" s="1320"/>
      <c r="AW10" s="1423"/>
      <c r="AX10" s="1320"/>
      <c r="AY10" s="1320"/>
      <c r="AZ10" s="1320"/>
      <c r="BA10" s="1320"/>
      <c r="BB10" s="1324"/>
      <c r="BC10" s="2243"/>
      <c r="BE10" s="437"/>
      <c r="BF10" s="437"/>
      <c r="BG10" s="437"/>
      <c r="BH10" s="437"/>
      <c r="BI10" s="1082">
        <v>0</v>
      </c>
    </row>
    <row r="11" spans="1:61" ht="11.25" hidden="1" customHeight="1">
      <c r="A11" s="1290"/>
      <c r="B11" s="1290"/>
      <c r="C11" s="1290"/>
      <c r="D11" s="1290"/>
      <c r="E11" s="2220"/>
      <c r="F11" s="2220"/>
      <c r="G11" s="2220"/>
      <c r="H11" s="2220"/>
      <c r="I11" s="2222"/>
      <c r="J11" s="2222"/>
      <c r="K11" s="2221"/>
      <c r="L11" s="1291"/>
      <c r="P11" s="2223"/>
      <c r="Q11" s="2223"/>
      <c r="R11" s="2279"/>
      <c r="S11" s="2277"/>
      <c r="T11" s="2297"/>
      <c r="U11" s="237"/>
      <c r="V11" s="1320"/>
      <c r="W11" s="1423"/>
      <c r="X11" s="1320"/>
      <c r="Y11" s="1423"/>
      <c r="Z11" s="1320"/>
      <c r="AA11" s="1320"/>
      <c r="AB11" s="1320"/>
      <c r="AC11" s="1320"/>
      <c r="AD11" s="2164"/>
      <c r="AE11" s="2272"/>
      <c r="AF11" s="2176"/>
      <c r="AG11" s="2295"/>
      <c r="AH11" s="2102"/>
      <c r="AI11" s="231"/>
      <c r="AJ11" s="352"/>
      <c r="AK11" s="250" t="s">
        <v>506</v>
      </c>
      <c r="AL11" s="1320"/>
      <c r="AM11" s="1320"/>
      <c r="AN11" s="1320"/>
      <c r="AO11" s="1320"/>
      <c r="AP11" s="1320"/>
      <c r="AQ11" s="1320"/>
      <c r="AR11" s="1320"/>
      <c r="AS11" s="1320"/>
      <c r="AT11" s="1320"/>
      <c r="AU11" s="1423"/>
      <c r="AV11" s="1320"/>
      <c r="AW11" s="1423"/>
      <c r="AX11" s="1320"/>
      <c r="AY11" s="1320"/>
      <c r="AZ11" s="1320"/>
      <c r="BA11" s="1320"/>
      <c r="BB11" s="1324"/>
      <c r="BC11" s="2243"/>
      <c r="BE11" s="437"/>
      <c r="BF11" s="437"/>
      <c r="BG11" s="437"/>
      <c r="BH11" s="437"/>
      <c r="BI11" s="1082">
        <v>0</v>
      </c>
    </row>
    <row r="12" spans="1:61" ht="11.25" hidden="1" customHeight="1">
      <c r="A12" s="1290"/>
      <c r="B12" s="1290"/>
      <c r="C12" s="1290"/>
      <c r="D12" s="1290"/>
      <c r="E12" s="2220"/>
      <c r="F12" s="2220"/>
      <c r="G12" s="2220"/>
      <c r="H12" s="2220"/>
      <c r="I12" s="2222"/>
      <c r="J12" s="2222"/>
      <c r="K12" s="2221"/>
      <c r="L12" s="1291"/>
      <c r="P12" s="2223"/>
      <c r="Q12" s="2223"/>
      <c r="R12" s="2279"/>
      <c r="S12" s="2278"/>
      <c r="T12" s="2298"/>
      <c r="U12" s="237"/>
      <c r="V12" s="1320"/>
      <c r="W12" s="1321" t="str">
        <f>Z8&amp;"-"&amp;AB8</f>
        <v>-</v>
      </c>
      <c r="X12" s="1320"/>
      <c r="Y12" s="1321" t="str">
        <f>AB8&amp;"-"&amp;AD8</f>
        <v>-да</v>
      </c>
      <c r="Z12" s="1320"/>
      <c r="AA12" s="1320"/>
      <c r="AB12" s="1320"/>
      <c r="AC12" s="1320"/>
      <c r="AD12" s="2107"/>
      <c r="AE12" s="249"/>
      <c r="AF12" s="251"/>
      <c r="AG12" s="353" t="s">
        <v>507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43"/>
      <c r="BE12" s="437"/>
      <c r="BF12" s="437" t="str">
        <f t="shared" ref="BF12:BF18" si="1">IF(T12="","",T12)</f>
        <v/>
      </c>
      <c r="BG12" s="437"/>
      <c r="BH12" s="437"/>
      <c r="BI12" s="1082">
        <v>0</v>
      </c>
    </row>
    <row r="13" spans="1:61" ht="11.25" hidden="1" customHeight="1">
      <c r="A13" s="1290"/>
      <c r="B13" s="1290"/>
      <c r="C13" s="1290"/>
      <c r="D13" s="1290"/>
      <c r="E13" s="2220"/>
      <c r="F13" s="2220"/>
      <c r="G13" s="2220"/>
      <c r="H13" s="2220"/>
      <c r="I13" s="2222"/>
      <c r="J13" s="2221"/>
      <c r="K13" s="1290"/>
      <c r="L13" s="1291"/>
      <c r="P13" s="2223"/>
      <c r="Q13" s="2223"/>
      <c r="R13" s="293"/>
      <c r="S13" s="1205"/>
      <c r="T13" s="224"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44"/>
      <c r="BE13" s="437"/>
      <c r="BF13" s="437" t="str">
        <f t="shared" si="1"/>
        <v>Добавить строку</v>
      </c>
      <c r="BG13" s="437"/>
      <c r="BH13" s="437"/>
      <c r="BI13" s="1082">
        <v>0</v>
      </c>
    </row>
    <row r="14" spans="1:61" s="1569" customFormat="1" ht="14.25" hidden="1" customHeight="1">
      <c r="A14" s="1270"/>
      <c r="B14" s="1270"/>
      <c r="C14" s="1270"/>
      <c r="D14" s="1270"/>
      <c r="E14" s="2220"/>
      <c r="F14" s="2220"/>
      <c r="G14" s="2220"/>
      <c r="H14" s="2220"/>
      <c r="I14" s="2221"/>
      <c r="J14" s="1270"/>
      <c r="K14" s="1270"/>
      <c r="L14" s="1273"/>
      <c r="M14" s="447"/>
      <c r="N14" s="447"/>
      <c r="O14" s="447"/>
      <c r="P14" s="222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20"/>
      <c r="F15" s="2220"/>
      <c r="G15" s="2220"/>
      <c r="H15" s="221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20"/>
      <c r="F16" s="2220"/>
      <c r="G16" s="221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20"/>
      <c r="F17" s="2219"/>
      <c r="G17" s="1241"/>
      <c r="H17" s="1241"/>
      <c r="I17" s="1241"/>
      <c r="J17" s="1241"/>
      <c r="K17" s="1241"/>
      <c r="L17" s="1421"/>
      <c r="M17" s="1248"/>
      <c r="N17" s="1248"/>
      <c r="P17" s="1243"/>
      <c r="Q17" s="1244"/>
      <c r="R17" s="1243"/>
      <c r="S17" s="1249"/>
      <c r="T17" s="1252" t="s">
        <v>417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19"/>
      <c r="F18" s="1270"/>
      <c r="G18" s="1270"/>
      <c r="H18" s="1270"/>
      <c r="I18" s="1270"/>
      <c r="J18" s="1270"/>
      <c r="K18" s="1270"/>
      <c r="L18" s="1273"/>
      <c r="M18" s="1248"/>
      <c r="N18" s="1248"/>
      <c r="O18" s="455"/>
      <c r="P18" s="317"/>
      <c r="Q18" s="1271"/>
      <c r="R18" s="317"/>
      <c r="S18" s="1249"/>
      <c r="T18" s="1252" t="s">
        <v>418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471</v>
      </c>
      <c r="AH24" s="1434" t="s">
        <v>471</v>
      </c>
      <c r="AK24" s="1434" t="s">
        <v>508</v>
      </c>
      <c r="AL24" s="1434" t="s">
        <v>471</v>
      </c>
      <c r="AP24" s="1434" t="s">
        <v>471</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0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c r="AS28" s="2200"/>
      <c r="AT28" s="2200"/>
      <c r="AU28" s="2200"/>
      <c r="AV28" s="2200"/>
      <c r="AW28" s="2200"/>
      <c r="AX28" s="2200"/>
      <c r="AY28" s="2200"/>
      <c r="AZ28" s="2200"/>
      <c r="BA28" s="1170"/>
      <c r="BI28" s="1082">
        <v>14</v>
      </c>
    </row>
    <row r="29" spans="1:61" ht="14.65" customHeight="1">
      <c r="Q29" s="228"/>
      <c r="R29" s="313"/>
      <c r="S29" s="2172" t="str">
        <f>IF(org=0,"Не определено",org)</f>
        <v>МУП "Михайловское водопроводно-канализационное хозяйство"</v>
      </c>
      <c r="T29" s="2172"/>
      <c r="U29" s="2172"/>
      <c r="V29" s="2172"/>
      <c r="W29" s="2172"/>
      <c r="X29" s="2172"/>
      <c r="Y29" s="2172"/>
      <c r="Z29" s="2172"/>
      <c r="AA29" s="2172"/>
      <c r="AB29" s="2172"/>
      <c r="AC29" s="2172"/>
      <c r="AD29" s="2172"/>
      <c r="AE29" s="2172"/>
      <c r="AF29" s="2172"/>
      <c r="AG29" s="2172"/>
      <c r="AH29" s="2172"/>
      <c r="AI29" s="2172"/>
      <c r="AJ29" s="2172"/>
      <c r="AK29" s="2172"/>
      <c r="AL29" s="2172"/>
      <c r="AM29" s="2172"/>
      <c r="AN29" s="2172"/>
      <c r="AO29" s="2172"/>
      <c r="AP29" s="2172"/>
      <c r="AQ29" s="2172"/>
      <c r="AR29" s="2172"/>
      <c r="AS29" s="2172"/>
      <c r="AT29" s="2172"/>
      <c r="AU29" s="2172"/>
      <c r="AV29" s="2172"/>
      <c r="AW29" s="2172"/>
      <c r="AX29" s="2172"/>
      <c r="AY29" s="2172"/>
      <c r="AZ29" s="2172"/>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10" t="s">
        <v>42</v>
      </c>
      <c r="T31" s="2210"/>
      <c r="U31" s="1299"/>
      <c r="V31" s="2212" t="str">
        <f>IF(TITLE_NAME_OR_PR_CHANGE="",IF(TITLE_NAME_OR_PR="","",TITLE_NAME_OR_PR),TITLE_NAME_OR_PR_CHANGE)</f>
        <v/>
      </c>
      <c r="W31" s="2212"/>
      <c r="X31" s="2212"/>
      <c r="Y31" s="2212"/>
      <c r="Z31" s="2212"/>
      <c r="AA31" s="2212"/>
      <c r="AB31" s="2212"/>
      <c r="AC31" s="263"/>
      <c r="AD31" s="2212" t="str">
        <f>IF(TITLE_NAME_OR_PR_CHANGE="",IF(TITLE_NAME_OR_PR="","",TITLE_NAME_OR_PR),TITLE_NAME_OR_PR_CHANGE)</f>
        <v/>
      </c>
      <c r="AE31" s="2212"/>
      <c r="AF31" s="2212"/>
      <c r="AG31" s="2212"/>
      <c r="AH31" s="2212"/>
      <c r="AI31" s="2212"/>
      <c r="AJ31" s="2212"/>
      <c r="AK31" s="2212"/>
      <c r="AL31" s="2212"/>
      <c r="AM31" s="2212"/>
      <c r="AN31" s="2212"/>
      <c r="AO31" s="2212"/>
      <c r="AP31" s="2212"/>
      <c r="AQ31" s="2212"/>
      <c r="AR31" s="2212"/>
      <c r="AS31" s="2212"/>
      <c r="AT31" s="2212"/>
      <c r="AU31" s="2212"/>
      <c r="AV31" s="2212"/>
      <c r="AW31" s="2212"/>
      <c r="AX31" s="2212"/>
      <c r="AY31" s="2212"/>
      <c r="AZ31" s="221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10" t="s">
        <v>425</v>
      </c>
      <c r="T32" s="2210"/>
      <c r="U32" s="1299"/>
      <c r="V32" s="2211" t="str">
        <f>IF(TITLE_DATE_PR_CHANGE="",IF(TITLE_DATE_PR="","",TITLE_DATE_PR),TITLE_DATE_PR_CHANGE)</f>
        <v/>
      </c>
      <c r="W32" s="2211"/>
      <c r="X32" s="2211"/>
      <c r="Y32" s="2211"/>
      <c r="Z32" s="2211"/>
      <c r="AA32" s="2211"/>
      <c r="AB32" s="2211"/>
      <c r="AC32" s="263"/>
      <c r="AD32" s="2211" t="str">
        <f>IF(TITLE_DATE_PR_CHANGE="",IF(TITLE_DATE_PR="","",TITLE_DATE_PR),TITLE_DATE_PR_CHANGE)</f>
        <v/>
      </c>
      <c r="AE32" s="2211"/>
      <c r="AF32" s="2211"/>
      <c r="AG32" s="2211"/>
      <c r="AH32" s="2211"/>
      <c r="AI32" s="2211"/>
      <c r="AJ32" s="2211"/>
      <c r="AK32" s="2211"/>
      <c r="AL32" s="2211"/>
      <c r="AM32" s="2211"/>
      <c r="AN32" s="2211"/>
      <c r="AO32" s="2211"/>
      <c r="AP32" s="2211"/>
      <c r="AQ32" s="2211"/>
      <c r="AR32" s="2211"/>
      <c r="AS32" s="2211"/>
      <c r="AT32" s="2211"/>
      <c r="AU32" s="2211"/>
      <c r="AV32" s="2211"/>
      <c r="AW32" s="2211"/>
      <c r="AX32" s="2211"/>
      <c r="AY32" s="2211"/>
      <c r="AZ32" s="221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10" t="s">
        <v>426</v>
      </c>
      <c r="T33" s="2210"/>
      <c r="U33" s="1299"/>
      <c r="V33" s="2212" t="str">
        <f>IF(TITLE_NUMBER_PR_CHANGE="",IF(TITLE_NUMBER_PR="","",TITLE_NUMBER_PR),TITLE_NUMBER_PR_CHANGE)</f>
        <v/>
      </c>
      <c r="W33" s="2212"/>
      <c r="X33" s="2212"/>
      <c r="Y33" s="2212"/>
      <c r="Z33" s="2212"/>
      <c r="AA33" s="2212"/>
      <c r="AB33" s="2212"/>
      <c r="AC33" s="263"/>
      <c r="AD33" s="2212" t="str">
        <f>IF(TITLE_NUMBER_PR_CHANGE="",IF(TITLE_NUMBER_PR="","",TITLE_NUMBER_PR),TITLE_NUMBER_PR_CHANGE)</f>
        <v/>
      </c>
      <c r="AE33" s="2212"/>
      <c r="AF33" s="2212"/>
      <c r="AG33" s="2212"/>
      <c r="AH33" s="2212"/>
      <c r="AI33" s="2212"/>
      <c r="AJ33" s="2212"/>
      <c r="AK33" s="2212"/>
      <c r="AL33" s="2212"/>
      <c r="AM33" s="2212"/>
      <c r="AN33" s="2212"/>
      <c r="AO33" s="2212"/>
      <c r="AP33" s="2212"/>
      <c r="AQ33" s="2212"/>
      <c r="AR33" s="2212"/>
      <c r="AS33" s="2212"/>
      <c r="AT33" s="2212"/>
      <c r="AU33" s="2212"/>
      <c r="AV33" s="2212"/>
      <c r="AW33" s="2212"/>
      <c r="AX33" s="2212"/>
      <c r="AY33" s="2212"/>
      <c r="AZ33" s="221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10" t="s">
        <v>43</v>
      </c>
      <c r="T34" s="2210"/>
      <c r="U34" s="1299"/>
      <c r="V34" s="2212" t="str">
        <f>IF(TITLE_IST_PUB_CHANGE="",IF(TITLE_IST_PUB="","",TITLE_IST_PUB),TITLE_IST_PUB_CHANGE)</f>
        <v/>
      </c>
      <c r="W34" s="2212"/>
      <c r="X34" s="2212"/>
      <c r="Y34" s="2212"/>
      <c r="Z34" s="2212"/>
      <c r="AA34" s="2212"/>
      <c r="AB34" s="2212"/>
      <c r="AC34" s="263"/>
      <c r="AD34" s="2212" t="str">
        <f>IF(TITLE_IST_PUB_CHANGE="",IF(TITLE_IST_PUB="","",TITLE_IST_PUB),TITLE_IST_PUB_CHANGE)</f>
        <v/>
      </c>
      <c r="AE34" s="2212"/>
      <c r="AF34" s="2212"/>
      <c r="AG34" s="2212"/>
      <c r="AH34" s="2212"/>
      <c r="AI34" s="2212"/>
      <c r="AJ34" s="2212"/>
      <c r="AK34" s="2212"/>
      <c r="AL34" s="2212"/>
      <c r="AM34" s="2212"/>
      <c r="AN34" s="2212"/>
      <c r="AO34" s="2212"/>
      <c r="AP34" s="2212"/>
      <c r="AQ34" s="2212"/>
      <c r="AR34" s="2212"/>
      <c r="AS34" s="2212"/>
      <c r="AT34" s="2212"/>
      <c r="AU34" s="2212"/>
      <c r="AV34" s="2212"/>
      <c r="AW34" s="2212"/>
      <c r="AX34" s="2212"/>
      <c r="AY34" s="2212"/>
      <c r="AZ34" s="221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10" t="s">
        <v>425</v>
      </c>
      <c r="T36" s="2210"/>
      <c r="U36" s="1299"/>
      <c r="V36" s="2211" t="str">
        <f>IF(TITLE_DATE_PR_CHANGE="",IF(TITLE_DATE_PR="","",TITLE_DATE_PR),TITLE_DATE_PR_CHANGE)</f>
        <v/>
      </c>
      <c r="W36" s="2211"/>
      <c r="X36" s="2211"/>
      <c r="Y36" s="2211"/>
      <c r="Z36" s="2211"/>
      <c r="AA36" s="2211"/>
      <c r="AB36" s="2211"/>
      <c r="AC36" s="263"/>
      <c r="AD36" s="2211" t="str">
        <f>IF(TITLE_DATE_PR_CHANGE="",IF(TITLE_DATE_PR="","",TITLE_DATE_PR),TITLE_DATE_PR_CHANGE)</f>
        <v/>
      </c>
      <c r="AE36" s="2211"/>
      <c r="AF36" s="2211"/>
      <c r="AG36" s="2211"/>
      <c r="AH36" s="2211"/>
      <c r="AI36" s="2211"/>
      <c r="AJ36" s="2211"/>
      <c r="AK36" s="2211"/>
      <c r="AL36" s="2211"/>
      <c r="AM36" s="2211"/>
      <c r="AN36" s="2211"/>
      <c r="AO36" s="2211"/>
      <c r="AP36" s="2211"/>
      <c r="AQ36" s="2211"/>
      <c r="AR36" s="2211"/>
      <c r="AS36" s="2211"/>
      <c r="AT36" s="2211"/>
      <c r="AU36" s="2211"/>
      <c r="AV36" s="2211"/>
      <c r="AW36" s="2211"/>
      <c r="AX36" s="2211"/>
      <c r="AY36" s="2211"/>
      <c r="AZ36" s="221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10" t="s">
        <v>426</v>
      </c>
      <c r="T37" s="2210"/>
      <c r="U37" s="1299"/>
      <c r="V37" s="2212" t="str">
        <f>IF(TITLE_NUMBER_PR_CHANGE="",IF(TITLE_NUMBER_PR="","",TITLE_NUMBER_PR),TITLE_NUMBER_PR_CHANGE)</f>
        <v/>
      </c>
      <c r="W37" s="2212"/>
      <c r="X37" s="2212"/>
      <c r="Y37" s="2212"/>
      <c r="Z37" s="2212"/>
      <c r="AA37" s="2212"/>
      <c r="AB37" s="2212"/>
      <c r="AC37" s="263"/>
      <c r="AD37" s="2212" t="str">
        <f>IF(TITLE_NUMBER_PR_CHANGE="",IF(TITLE_NUMBER_PR="","",TITLE_NUMBER_PR),TITLE_NUMBER_PR_CHANGE)</f>
        <v/>
      </c>
      <c r="AE37" s="2212"/>
      <c r="AF37" s="2212"/>
      <c r="AG37" s="2212"/>
      <c r="AH37" s="2212"/>
      <c r="AI37" s="2212"/>
      <c r="AJ37" s="2212"/>
      <c r="AK37" s="2212"/>
      <c r="AL37" s="2212"/>
      <c r="AM37" s="2212"/>
      <c r="AN37" s="2212"/>
      <c r="AO37" s="2212"/>
      <c r="AP37" s="2212"/>
      <c r="AQ37" s="2212"/>
      <c r="AR37" s="2212"/>
      <c r="AS37" s="2212"/>
      <c r="AT37" s="2212"/>
      <c r="AU37" s="2212"/>
      <c r="AV37" s="2212"/>
      <c r="AW37" s="2212"/>
      <c r="AX37" s="2212"/>
      <c r="AY37" s="2212"/>
      <c r="AZ37" s="221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5"/>
      <c r="BE38" s="305"/>
      <c r="BF38" s="305"/>
      <c r="BG38" s="305"/>
      <c r="BH38" s="305"/>
      <c r="BI38" s="355">
        <v>0</v>
      </c>
    </row>
    <row r="39" spans="1:61" ht="14.65" customHeight="1">
      <c r="Q39" s="228"/>
      <c r="R39" s="313"/>
      <c r="S39" s="1202"/>
      <c r="T39" s="300"/>
      <c r="U39" s="117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c r="AS39" s="2231"/>
      <c r="AT39" s="2231"/>
      <c r="AU39" s="2231"/>
      <c r="AV39" s="2231"/>
      <c r="AW39" s="2231"/>
      <c r="AX39" s="2231"/>
      <c r="AY39" s="2231"/>
      <c r="AZ39" s="2231"/>
      <c r="BA39" s="2231"/>
      <c r="BI39" s="1082">
        <v>14</v>
      </c>
    </row>
    <row r="40" spans="1:61" ht="14.65" customHeight="1">
      <c r="Q40" s="228"/>
      <c r="R40" s="313"/>
      <c r="S40" s="2091" t="s">
        <v>302</v>
      </c>
      <c r="T40" s="2091"/>
      <c r="U40" s="2091"/>
      <c r="V40" s="2091"/>
      <c r="W40" s="2091"/>
      <c r="X40" s="2091"/>
      <c r="Y40" s="2091"/>
      <c r="Z40" s="2091"/>
      <c r="AA40" s="2091"/>
      <c r="AB40" s="2091"/>
      <c r="AC40" s="2091"/>
      <c r="AD40" s="2091"/>
      <c r="AE40" s="2091"/>
      <c r="AF40" s="2091"/>
      <c r="AG40" s="2091"/>
      <c r="AH40" s="2091"/>
      <c r="AI40" s="2091"/>
      <c r="AJ40" s="2091"/>
      <c r="AK40" s="2091"/>
      <c r="AL40" s="2091"/>
      <c r="AM40" s="2091"/>
      <c r="AN40" s="2091"/>
      <c r="AO40" s="2091"/>
      <c r="AP40" s="2091"/>
      <c r="AQ40" s="2091"/>
      <c r="AR40" s="2091"/>
      <c r="AS40" s="2091"/>
      <c r="AT40" s="2091"/>
      <c r="AU40" s="2091"/>
      <c r="AV40" s="2091"/>
      <c r="AW40" s="2091"/>
      <c r="AX40" s="2091"/>
      <c r="AY40" s="2091"/>
      <c r="AZ40" s="2091"/>
      <c r="BA40" s="2091"/>
      <c r="BB40" s="2091"/>
      <c r="BC40" s="2091" t="s">
        <v>303</v>
      </c>
      <c r="BI40" s="1082">
        <v>14</v>
      </c>
    </row>
    <row r="41" spans="1:61" ht="14.65" customHeight="1">
      <c r="Q41" s="228"/>
      <c r="R41" s="313"/>
      <c r="S41" s="2232" t="s">
        <v>87</v>
      </c>
      <c r="T41" s="2180" t="s">
        <v>509</v>
      </c>
      <c r="U41" s="238"/>
      <c r="V41" s="2233" t="s">
        <v>431</v>
      </c>
      <c r="W41" s="2234"/>
      <c r="X41" s="2234"/>
      <c r="Y41" s="2234"/>
      <c r="Z41" s="2234"/>
      <c r="AA41" s="2234"/>
      <c r="AB41" s="2235"/>
      <c r="AC41" s="2236" t="s">
        <v>432</v>
      </c>
      <c r="AD41" s="2265" t="s">
        <v>510</v>
      </c>
      <c r="AE41" s="2249"/>
      <c r="AF41" s="2249"/>
      <c r="AG41" s="2266"/>
      <c r="AH41" s="2265" t="s">
        <v>511</v>
      </c>
      <c r="AI41" s="2249"/>
      <c r="AJ41" s="2249"/>
      <c r="AK41" s="2266"/>
      <c r="AL41" s="2265" t="s">
        <v>512</v>
      </c>
      <c r="AM41" s="2249"/>
      <c r="AN41" s="2249"/>
      <c r="AO41" s="2266"/>
      <c r="AP41" s="2265" t="s">
        <v>513</v>
      </c>
      <c r="AQ41" s="2249"/>
      <c r="AR41" s="2249"/>
      <c r="AS41" s="2266"/>
      <c r="AT41" s="2233" t="s">
        <v>431</v>
      </c>
      <c r="AU41" s="2234"/>
      <c r="AV41" s="2234"/>
      <c r="AW41" s="2234"/>
      <c r="AX41" s="2234"/>
      <c r="AY41" s="2234"/>
      <c r="AZ41" s="2235"/>
      <c r="BA41" s="2236" t="s">
        <v>432</v>
      </c>
      <c r="BB41" s="2239" t="s">
        <v>434</v>
      </c>
      <c r="BC41" s="2091"/>
      <c r="BI41" s="1082">
        <v>14</v>
      </c>
    </row>
    <row r="42" spans="1:61" ht="35.65" customHeight="1">
      <c r="Q42" s="228"/>
      <c r="R42" s="313"/>
      <c r="S42" s="2232"/>
      <c r="T42" s="2180"/>
      <c r="U42" s="961"/>
      <c r="V42" s="2151" t="s">
        <v>514</v>
      </c>
      <c r="W42" s="2152"/>
      <c r="X42" s="2151" t="s">
        <v>515</v>
      </c>
      <c r="Y42" s="2152"/>
      <c r="Z42" s="2151" t="s">
        <v>516</v>
      </c>
      <c r="AA42" s="2261"/>
      <c r="AB42" s="2152"/>
      <c r="AC42" s="2237"/>
      <c r="AD42" s="2267"/>
      <c r="AE42" s="2268"/>
      <c r="AF42" s="2268"/>
      <c r="AG42" s="2280"/>
      <c r="AH42" s="2267"/>
      <c r="AI42" s="2268"/>
      <c r="AJ42" s="2268"/>
      <c r="AK42" s="2280"/>
      <c r="AL42" s="2267"/>
      <c r="AM42" s="2268"/>
      <c r="AN42" s="2268"/>
      <c r="AO42" s="2280"/>
      <c r="AP42" s="2267"/>
      <c r="AQ42" s="2268"/>
      <c r="AR42" s="2268"/>
      <c r="AS42" s="2280"/>
      <c r="AT42" s="2151" t="s">
        <v>514</v>
      </c>
      <c r="AU42" s="2152"/>
      <c r="AV42" s="2151" t="s">
        <v>515</v>
      </c>
      <c r="AW42" s="2152"/>
      <c r="AX42" s="2151" t="s">
        <v>516</v>
      </c>
      <c r="AY42" s="2261"/>
      <c r="AZ42" s="2152"/>
      <c r="BA42" s="2237"/>
      <c r="BB42" s="2240"/>
      <c r="BC42" s="2091"/>
      <c r="BI42" s="1082">
        <v>34</v>
      </c>
    </row>
    <row r="43" spans="1:61" ht="14.65" customHeight="1">
      <c r="Q43" s="228"/>
      <c r="R43" s="313"/>
      <c r="S43" s="2232"/>
      <c r="T43" s="2180"/>
      <c r="U43" s="961"/>
      <c r="V43" s="2156"/>
      <c r="W43" s="2157"/>
      <c r="X43" s="2156"/>
      <c r="Y43" s="2157"/>
      <c r="Z43" s="2156"/>
      <c r="AA43" s="2262"/>
      <c r="AB43" s="2157"/>
      <c r="AC43" s="2237"/>
      <c r="AD43" s="2267"/>
      <c r="AE43" s="2268"/>
      <c r="AF43" s="2268"/>
      <c r="AG43" s="2280"/>
      <c r="AH43" s="2267"/>
      <c r="AI43" s="2268"/>
      <c r="AJ43" s="2268"/>
      <c r="AK43" s="2280"/>
      <c r="AL43" s="2267"/>
      <c r="AM43" s="2268"/>
      <c r="AN43" s="2268"/>
      <c r="AO43" s="2280"/>
      <c r="AP43" s="2267"/>
      <c r="AQ43" s="2268"/>
      <c r="AR43" s="2268"/>
      <c r="AS43" s="2280"/>
      <c r="AT43" s="2156"/>
      <c r="AU43" s="2157"/>
      <c r="AV43" s="2156"/>
      <c r="AW43" s="2157"/>
      <c r="AX43" s="2156"/>
      <c r="AY43" s="2262"/>
      <c r="AZ43" s="2157"/>
      <c r="BA43" s="2237"/>
      <c r="BB43" s="2240"/>
      <c r="BC43" s="2091"/>
      <c r="BI43" s="1082">
        <v>14</v>
      </c>
    </row>
    <row r="44" spans="1:61" ht="14.65" customHeight="1">
      <c r="A44" s="1297"/>
      <c r="B44" s="1297" t="s">
        <v>139</v>
      </c>
      <c r="C44" s="1297" t="s">
        <v>140</v>
      </c>
      <c r="D44" s="1297" t="s">
        <v>141</v>
      </c>
      <c r="E44" s="1291" t="s">
        <v>439</v>
      </c>
      <c r="F44" s="1291" t="s">
        <v>440</v>
      </c>
      <c r="G44" s="1291" t="s">
        <v>441</v>
      </c>
      <c r="H44" s="1291" t="s">
        <v>442</v>
      </c>
      <c r="I44" s="1291" t="s">
        <v>443</v>
      </c>
      <c r="J44" s="1291" t="s">
        <v>444</v>
      </c>
      <c r="K44" s="1291" t="s">
        <v>445</v>
      </c>
      <c r="L44" s="1291" t="s">
        <v>420</v>
      </c>
      <c r="Q44" s="228"/>
      <c r="R44" s="313"/>
      <c r="S44" s="2232"/>
      <c r="T44" s="2180"/>
      <c r="U44" s="239"/>
      <c r="V44" s="1406" t="s">
        <v>480</v>
      </c>
      <c r="W44" s="1406" t="s">
        <v>481</v>
      </c>
      <c r="X44" s="1406" t="s">
        <v>480</v>
      </c>
      <c r="Y44" s="1406" t="s">
        <v>481</v>
      </c>
      <c r="Z44" s="1416" t="s">
        <v>448</v>
      </c>
      <c r="AA44" s="2185" t="s">
        <v>449</v>
      </c>
      <c r="AB44" s="2199"/>
      <c r="AC44" s="2238"/>
      <c r="AD44" s="2269"/>
      <c r="AE44" s="2270"/>
      <c r="AF44" s="2270"/>
      <c r="AG44" s="2271"/>
      <c r="AH44" s="2269"/>
      <c r="AI44" s="2270"/>
      <c r="AJ44" s="2270"/>
      <c r="AK44" s="2271"/>
      <c r="AL44" s="2269"/>
      <c r="AM44" s="2270"/>
      <c r="AN44" s="2270"/>
      <c r="AO44" s="2271"/>
      <c r="AP44" s="2269"/>
      <c r="AQ44" s="2270"/>
      <c r="AR44" s="2270"/>
      <c r="AS44" s="2271"/>
      <c r="AT44" s="1406" t="s">
        <v>480</v>
      </c>
      <c r="AU44" s="1406" t="s">
        <v>481</v>
      </c>
      <c r="AV44" s="1406" t="s">
        <v>480</v>
      </c>
      <c r="AW44" s="1406" t="s">
        <v>481</v>
      </c>
      <c r="AX44" s="1416" t="s">
        <v>448</v>
      </c>
      <c r="AY44" s="2185" t="s">
        <v>449</v>
      </c>
      <c r="AZ44" s="2199"/>
      <c r="BA44" s="2238"/>
      <c r="BB44" s="2241"/>
      <c r="BC44" s="209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30">
        <f t="shared" ca="1" si="2"/>
        <v>8</v>
      </c>
      <c r="AB45" s="223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30">
        <f ca="1">OFFSET(AY45,0,-1)+1</f>
        <v>3</v>
      </c>
      <c r="AZ45" s="2230"/>
      <c r="BA45" s="1409">
        <f ca="1">OFFSET(BA45,0,-2)+1</f>
        <v>4</v>
      </c>
      <c r="BB45" s="1172">
        <f ca="1">OFFSET(BB45,0,-1)</f>
        <v>4</v>
      </c>
      <c r="BC45" s="1409">
        <f ca="1">OFFSET(BC45,0,-1)+1</f>
        <v>5</v>
      </c>
      <c r="BD45" s="448"/>
      <c r="BE45" s="448"/>
      <c r="BF45" s="448"/>
      <c r="BG45" s="448"/>
      <c r="BH45" s="448"/>
      <c r="BI45" s="433">
        <v>0</v>
      </c>
    </row>
    <row r="46" spans="1:61" ht="21.95" customHeight="1">
      <c r="A46" s="1290" t="s">
        <v>263</v>
      </c>
      <c r="B46" s="1290"/>
      <c r="C46" s="1290"/>
      <c r="D46" s="1290"/>
      <c r="E46" s="221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127</v>
      </c>
      <c r="U46" s="237"/>
      <c r="V46" s="2214"/>
      <c r="W46" s="2214"/>
      <c r="X46" s="2214"/>
      <c r="Y46" s="2214"/>
      <c r="Z46" s="2214"/>
      <c r="AA46" s="2214"/>
      <c r="AB46" s="2214"/>
      <c r="AC46" s="2215"/>
      <c r="AD46" s="2213" t="str">
        <f>INDEX(PT_DIFFERENTIATION_NTAR,MATCH(A46,PT_DIFFERENTIATION_NTAR_ID,0))</f>
        <v/>
      </c>
      <c r="AE46" s="2214"/>
      <c r="AF46" s="2214"/>
      <c r="AG46" s="2214"/>
      <c r="AH46" s="2214"/>
      <c r="AI46" s="2214"/>
      <c r="AJ46" s="2214"/>
      <c r="AK46" s="2214"/>
      <c r="AL46" s="2214"/>
      <c r="AM46" s="2214"/>
      <c r="AN46" s="2214"/>
      <c r="AO46" s="2214"/>
      <c r="AP46" s="2214"/>
      <c r="AQ46" s="2214"/>
      <c r="AR46" s="2214"/>
      <c r="AS46" s="2214"/>
      <c r="AT46" s="2214"/>
      <c r="AU46" s="2214"/>
      <c r="AV46" s="2214"/>
      <c r="AW46" s="2214"/>
      <c r="AX46" s="2214"/>
      <c r="AY46" s="2214"/>
      <c r="AZ46" s="2214"/>
      <c r="BA46" s="2214"/>
      <c r="BB46" s="221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263</v>
      </c>
      <c r="B47" s="1290" t="s">
        <v>264</v>
      </c>
      <c r="C47" s="1290"/>
      <c r="D47" s="1290"/>
      <c r="E47" s="2220"/>
      <c r="F47" s="2219">
        <v>1</v>
      </c>
      <c r="G47" s="1290"/>
      <c r="H47" s="1290"/>
      <c r="I47" s="1290"/>
      <c r="J47" s="1290"/>
      <c r="K47" s="1290"/>
      <c r="L47" s="1291"/>
      <c r="M47" s="1292"/>
      <c r="N47" s="1292"/>
      <c r="O47" s="1292"/>
      <c r="P47" s="1337"/>
      <c r="Q47" s="1338"/>
      <c r="R47" s="290"/>
      <c r="S47" s="1420" t="str">
        <f>INDEX(PT_DIFFERENTIATION_NUM_TER,MATCH(B47,PT_DIFFERENTIATION_TER_ID,0))</f>
        <v>.</v>
      </c>
      <c r="T47" s="245" t="s">
        <v>399</v>
      </c>
      <c r="U47" s="237"/>
      <c r="V47" s="2214"/>
      <c r="W47" s="2214"/>
      <c r="X47" s="2214"/>
      <c r="Y47" s="2214"/>
      <c r="Z47" s="2214"/>
      <c r="AA47" s="2214"/>
      <c r="AB47" s="2214"/>
      <c r="AC47" s="2215"/>
      <c r="AD47" s="2213" t="str">
        <f>INDEX(PT_DIFFERENTIATION_TER,MATCH(B47,PT_DIFFERENTIATION_TER_ID,0))</f>
        <v/>
      </c>
      <c r="AE47" s="2214"/>
      <c r="AF47" s="2214"/>
      <c r="AG47" s="2214"/>
      <c r="AH47" s="2214"/>
      <c r="AI47" s="2214"/>
      <c r="AJ47" s="2214"/>
      <c r="AK47" s="2214"/>
      <c r="AL47" s="2214"/>
      <c r="AM47" s="2214"/>
      <c r="AN47" s="2214"/>
      <c r="AO47" s="2214"/>
      <c r="AP47" s="2214"/>
      <c r="AQ47" s="2214"/>
      <c r="AR47" s="2214"/>
      <c r="AS47" s="2214"/>
      <c r="AT47" s="2214"/>
      <c r="AU47" s="2214"/>
      <c r="AV47" s="2214"/>
      <c r="AW47" s="2214"/>
      <c r="AX47" s="2214"/>
      <c r="AY47" s="2214"/>
      <c r="AZ47" s="2214"/>
      <c r="BA47" s="2214"/>
      <c r="BB47" s="2215"/>
      <c r="BC47" s="1185" t="s">
        <v>400</v>
      </c>
      <c r="BE47" s="437"/>
      <c r="BF47" s="437" t="str">
        <f t="shared" si="3"/>
        <v>Территория действия тарифа</v>
      </c>
      <c r="BG47" s="437"/>
      <c r="BH47" s="437"/>
      <c r="BI47" s="1082">
        <v>21</v>
      </c>
    </row>
    <row r="48" spans="1:61" ht="35.65" customHeight="1">
      <c r="A48" s="1290" t="s">
        <v>263</v>
      </c>
      <c r="B48" s="1290" t="s">
        <v>264</v>
      </c>
      <c r="C48" s="1290" t="s">
        <v>265</v>
      </c>
      <c r="D48" s="1290"/>
      <c r="E48" s="2220"/>
      <c r="F48" s="2220"/>
      <c r="G48" s="2219">
        <v>1</v>
      </c>
      <c r="H48" s="1290"/>
      <c r="I48" s="1290"/>
      <c r="J48" s="1290"/>
      <c r="K48" s="1290"/>
      <c r="L48" s="1291"/>
      <c r="M48" s="1292"/>
      <c r="N48" s="1292"/>
      <c r="O48" s="1292"/>
      <c r="P48" s="1339"/>
      <c r="Q48" s="1338"/>
      <c r="R48" s="290"/>
      <c r="S48" s="1420" t="str">
        <f>INDEX(PT_DIFFERENTIATION_NUM_CS,MATCH(C48,PT_DIFFERENTIATION_CS_ID,0))</f>
        <v>..</v>
      </c>
      <c r="T48" s="246" t="s">
        <v>532</v>
      </c>
      <c r="U48" s="237"/>
      <c r="V48" s="2214"/>
      <c r="W48" s="2214"/>
      <c r="X48" s="2214"/>
      <c r="Y48" s="2214"/>
      <c r="Z48" s="2214"/>
      <c r="AA48" s="2214"/>
      <c r="AB48" s="2214"/>
      <c r="AC48" s="2215"/>
      <c r="AD48" s="2213" t="str">
        <f>INDEX(PT_DIFFERENTIATION_CS,MATCH(C48,PT_DIFFERENTIATION_CS_ID,0))</f>
        <v/>
      </c>
      <c r="AE48" s="2214"/>
      <c r="AF48" s="2214"/>
      <c r="AG48" s="2214"/>
      <c r="AH48" s="2214"/>
      <c r="AI48" s="2214"/>
      <c r="AJ48" s="2214"/>
      <c r="AK48" s="2214"/>
      <c r="AL48" s="2214"/>
      <c r="AM48" s="2214"/>
      <c r="AN48" s="2214"/>
      <c r="AO48" s="2214"/>
      <c r="AP48" s="2214"/>
      <c r="AQ48" s="2214"/>
      <c r="AR48" s="2214"/>
      <c r="AS48" s="2214"/>
      <c r="AT48" s="2214"/>
      <c r="AU48" s="2214"/>
      <c r="AV48" s="2214"/>
      <c r="AW48" s="2214"/>
      <c r="AX48" s="2214"/>
      <c r="AY48" s="2214"/>
      <c r="AZ48" s="2214"/>
      <c r="BA48" s="2214"/>
      <c r="BB48" s="2215"/>
      <c r="BC48" s="1185" t="s">
        <v>533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263</v>
      </c>
      <c r="B49" s="1270" t="s">
        <v>264</v>
      </c>
      <c r="C49" s="1270" t="s">
        <v>265</v>
      </c>
      <c r="D49" s="1270" t="s">
        <v>546</v>
      </c>
      <c r="E49" s="2220"/>
      <c r="F49" s="2220"/>
      <c r="G49" s="2220"/>
      <c r="H49" s="2219">
        <v>1</v>
      </c>
      <c r="I49" s="1270"/>
      <c r="J49" s="1270"/>
      <c r="K49" s="1270"/>
      <c r="L49" s="1273"/>
      <c r="M49" s="1242"/>
      <c r="N49" s="1242"/>
      <c r="O49" s="1242"/>
      <c r="P49" s="1424"/>
      <c r="Q49" s="1425"/>
      <c r="R49" s="294"/>
      <c r="S49" s="972"/>
      <c r="T49" s="1426"/>
      <c r="U49" s="1311"/>
      <c r="V49" s="2251"/>
      <c r="W49" s="2251"/>
      <c r="X49" s="2251"/>
      <c r="Y49" s="2251"/>
      <c r="Z49" s="2251"/>
      <c r="AA49" s="2251"/>
      <c r="AB49" s="2251"/>
      <c r="AC49" s="2252"/>
      <c r="AD49" s="2250"/>
      <c r="AE49" s="2251"/>
      <c r="AF49" s="2251"/>
      <c r="AG49" s="2251"/>
      <c r="AH49" s="2251"/>
      <c r="AI49" s="2251"/>
      <c r="AJ49" s="2251"/>
      <c r="AK49" s="2251"/>
      <c r="AL49" s="2251"/>
      <c r="AM49" s="2251"/>
      <c r="AN49" s="2251"/>
      <c r="AO49" s="2251"/>
      <c r="AP49" s="2251"/>
      <c r="AQ49" s="2251"/>
      <c r="AR49" s="2251"/>
      <c r="AS49" s="2251"/>
      <c r="AT49" s="2251"/>
      <c r="AU49" s="2251"/>
      <c r="AV49" s="2251"/>
      <c r="AW49" s="2251"/>
      <c r="AX49" s="2251"/>
      <c r="AY49" s="2251"/>
      <c r="AZ49" s="2251"/>
      <c r="BA49" s="2251"/>
      <c r="BB49" s="2252"/>
      <c r="BC49" s="1312" t="s">
        <v>404</v>
      </c>
      <c r="BE49" s="437"/>
      <c r="BF49" s="437" t="str">
        <f t="shared" si="3"/>
        <v/>
      </c>
      <c r="BG49" s="437"/>
      <c r="BH49" s="437"/>
      <c r="BI49" s="448">
        <v>0</v>
      </c>
    </row>
    <row r="50" spans="1:61" s="1569" customFormat="1" ht="0" hidden="1" customHeight="1">
      <c r="A50" s="1270" t="s">
        <v>263</v>
      </c>
      <c r="B50" s="1270" t="s">
        <v>264</v>
      </c>
      <c r="C50" s="1270" t="s">
        <v>265</v>
      </c>
      <c r="D50" s="1270" t="s">
        <v>546</v>
      </c>
      <c r="E50" s="2220"/>
      <c r="F50" s="2220"/>
      <c r="G50" s="2220"/>
      <c r="H50" s="2220"/>
      <c r="I50" s="2221" t="str">
        <f>S49&amp;".1"</f>
        <v>.1</v>
      </c>
      <c r="J50" s="1270"/>
      <c r="K50" s="1270"/>
      <c r="L50" s="1273" t="s">
        <v>405</v>
      </c>
      <c r="M50" s="447"/>
      <c r="N50" s="447"/>
      <c r="O50" s="447"/>
      <c r="P50" s="2223">
        <v>1</v>
      </c>
      <c r="Q50" s="1408"/>
      <c r="R50" s="293"/>
      <c r="S50" s="972"/>
      <c r="T50" s="1310"/>
      <c r="U50" s="1311"/>
      <c r="V50" s="2251"/>
      <c r="W50" s="2251"/>
      <c r="X50" s="2251"/>
      <c r="Y50" s="2251"/>
      <c r="Z50" s="2251"/>
      <c r="AA50" s="2251"/>
      <c r="AB50" s="2251"/>
      <c r="AC50" s="2252"/>
      <c r="AD50" s="2250"/>
      <c r="AE50" s="2251"/>
      <c r="AF50" s="2251"/>
      <c r="AG50" s="2251"/>
      <c r="AH50" s="2251"/>
      <c r="AI50" s="2251"/>
      <c r="AJ50" s="2251"/>
      <c r="AK50" s="2251"/>
      <c r="AL50" s="2251"/>
      <c r="AM50" s="2251"/>
      <c r="AN50" s="2251"/>
      <c r="AO50" s="2251"/>
      <c r="AP50" s="2251"/>
      <c r="AQ50" s="2251"/>
      <c r="AR50" s="2251"/>
      <c r="AS50" s="2251"/>
      <c r="AT50" s="2251"/>
      <c r="AU50" s="2251"/>
      <c r="AV50" s="2251"/>
      <c r="AW50" s="2251"/>
      <c r="AX50" s="2251"/>
      <c r="AY50" s="2251"/>
      <c r="AZ50" s="2251"/>
      <c r="BA50" s="2251"/>
      <c r="BB50" s="2252"/>
      <c r="BC50" s="1312"/>
      <c r="BE50" s="437"/>
      <c r="BF50" s="437" t="str">
        <f t="shared" si="3"/>
        <v/>
      </c>
      <c r="BG50" s="437"/>
      <c r="BH50" s="437"/>
      <c r="BI50" s="448">
        <v>0</v>
      </c>
    </row>
    <row r="51" spans="1:61" s="1569" customFormat="1" ht="0" hidden="1" customHeight="1">
      <c r="A51" s="1270" t="s">
        <v>263</v>
      </c>
      <c r="B51" s="1270" t="s">
        <v>264</v>
      </c>
      <c r="C51" s="1270" t="s">
        <v>265</v>
      </c>
      <c r="D51" s="1270" t="s">
        <v>546</v>
      </c>
      <c r="E51" s="2220"/>
      <c r="F51" s="2220"/>
      <c r="G51" s="2220"/>
      <c r="H51" s="2220"/>
      <c r="I51" s="2222"/>
      <c r="J51" s="2221" t="str">
        <f>S49&amp;".1"</f>
        <v>.1</v>
      </c>
      <c r="K51" s="1270"/>
      <c r="L51" s="1273"/>
      <c r="M51" s="447"/>
      <c r="N51" s="447"/>
      <c r="O51" s="447"/>
      <c r="P51" s="2223"/>
      <c r="Q51" s="2223">
        <v>1</v>
      </c>
      <c r="R51" s="294"/>
      <c r="S51" s="972"/>
      <c r="T51" s="1326"/>
      <c r="U51" s="1311"/>
      <c r="V51" s="2251"/>
      <c r="W51" s="2251"/>
      <c r="X51" s="2251"/>
      <c r="Y51" s="2251"/>
      <c r="Z51" s="2251"/>
      <c r="AA51" s="2251"/>
      <c r="AB51" s="2251"/>
      <c r="AC51" s="2252"/>
      <c r="AD51" s="2250"/>
      <c r="AE51" s="2251"/>
      <c r="AF51" s="2251"/>
      <c r="AG51" s="2251"/>
      <c r="AH51" s="2251"/>
      <c r="AI51" s="2251"/>
      <c r="AJ51" s="2251"/>
      <c r="AK51" s="2251"/>
      <c r="AL51" s="2251"/>
      <c r="AM51" s="2251"/>
      <c r="AN51" s="2302"/>
      <c r="AO51" s="2302"/>
      <c r="AP51" s="2251"/>
      <c r="AQ51" s="2251"/>
      <c r="AR51" s="2251"/>
      <c r="AS51" s="2251"/>
      <c r="AT51" s="2251"/>
      <c r="AU51" s="2251"/>
      <c r="AV51" s="2251"/>
      <c r="AW51" s="2251"/>
      <c r="AX51" s="2251"/>
      <c r="AY51" s="2251"/>
      <c r="AZ51" s="2251"/>
      <c r="BA51" s="2251"/>
      <c r="BB51" s="2252"/>
      <c r="BC51" s="1312"/>
      <c r="BE51" s="437"/>
      <c r="BF51" s="437" t="str">
        <f t="shared" si="3"/>
        <v/>
      </c>
      <c r="BG51" s="437"/>
      <c r="BH51" s="437"/>
      <c r="BI51" s="448">
        <v>0</v>
      </c>
    </row>
    <row r="52" spans="1:61" ht="11.45" customHeight="1">
      <c r="A52" s="1290" t="s">
        <v>263</v>
      </c>
      <c r="B52" s="1290" t="s">
        <v>264</v>
      </c>
      <c r="C52" s="1290" t="s">
        <v>265</v>
      </c>
      <c r="D52" s="1290" t="s">
        <v>546</v>
      </c>
      <c r="E52" s="2220"/>
      <c r="F52" s="2220"/>
      <c r="G52" s="2220"/>
      <c r="H52" s="2220"/>
      <c r="I52" s="2222"/>
      <c r="J52" s="2222"/>
      <c r="K52" s="2221" t="str">
        <f>S48&amp;".1"</f>
        <v>...1</v>
      </c>
      <c r="L52" s="1291"/>
      <c r="P52" s="2223"/>
      <c r="Q52" s="2223"/>
      <c r="R52" s="294">
        <v>1</v>
      </c>
      <c r="S52" s="2276" t="str">
        <f>$K52</f>
        <v>...1</v>
      </c>
      <c r="T52" s="2296"/>
      <c r="U52" s="237"/>
      <c r="V52" s="688"/>
      <c r="W52" s="1184"/>
      <c r="X52" s="688"/>
      <c r="Y52" s="1184"/>
      <c r="Z52" s="1661"/>
      <c r="AA52" s="1396" t="s">
        <v>65</v>
      </c>
      <c r="AB52" s="1661"/>
      <c r="AC52" s="1396" t="s">
        <v>65</v>
      </c>
      <c r="AD52" s="2163" t="s">
        <v>65</v>
      </c>
      <c r="AE52" s="2272"/>
      <c r="AF52" s="2176">
        <v>1</v>
      </c>
      <c r="AG52" s="2295"/>
      <c r="AH52" s="2102" t="s">
        <v>65</v>
      </c>
      <c r="AI52" s="2272"/>
      <c r="AJ52" s="2176">
        <v>1</v>
      </c>
      <c r="AK52" s="2286" t="s">
        <v>22</v>
      </c>
      <c r="AL52" s="2102" t="s">
        <v>65</v>
      </c>
      <c r="AM52" s="2151"/>
      <c r="AN52" s="2176">
        <v>1</v>
      </c>
      <c r="AO52" s="2299"/>
      <c r="AP52" s="2300" t="s">
        <v>65</v>
      </c>
      <c r="AQ52" s="248"/>
      <c r="AR52" s="1413">
        <v>1</v>
      </c>
      <c r="AS52" s="1419" t="s">
        <v>22</v>
      </c>
      <c r="AT52" s="688"/>
      <c r="AU52" s="1184"/>
      <c r="AV52" s="688"/>
      <c r="AW52" s="1184"/>
      <c r="AX52" s="1661"/>
      <c r="AY52" s="1396" t="s">
        <v>65</v>
      </c>
      <c r="AZ52" s="1661"/>
      <c r="BA52" s="1396" t="s">
        <v>65</v>
      </c>
      <c r="BB52" s="1275"/>
      <c r="BC52" s="2242" t="s">
        <v>503</v>
      </c>
      <c r="BE52" s="437"/>
      <c r="BF52" s="437" t="str">
        <f t="shared" si="3"/>
        <v/>
      </c>
      <c r="BG52" s="437"/>
      <c r="BH52" s="437"/>
      <c r="BI52" s="1082">
        <v>11</v>
      </c>
    </row>
    <row r="53" spans="1:61" ht="11.45" customHeight="1">
      <c r="A53" s="1290"/>
      <c r="B53" s="1290"/>
      <c r="C53" s="1290"/>
      <c r="D53" s="1290"/>
      <c r="E53" s="2220"/>
      <c r="F53" s="2220"/>
      <c r="G53" s="2220"/>
      <c r="H53" s="2220"/>
      <c r="I53" s="2222"/>
      <c r="J53" s="2222"/>
      <c r="K53" s="2221"/>
      <c r="L53" s="1291"/>
      <c r="P53" s="2223"/>
      <c r="Q53" s="2223"/>
      <c r="R53" s="294"/>
      <c r="S53" s="2277"/>
      <c r="T53" s="2297"/>
      <c r="U53" s="237"/>
      <c r="V53" s="1320"/>
      <c r="W53" s="1423"/>
      <c r="X53" s="1320"/>
      <c r="Y53" s="1423"/>
      <c r="Z53" s="1320"/>
      <c r="AA53" s="1320"/>
      <c r="AB53" s="1320"/>
      <c r="AC53" s="1320"/>
      <c r="AD53" s="2164"/>
      <c r="AE53" s="2272"/>
      <c r="AF53" s="2176"/>
      <c r="AG53" s="2295"/>
      <c r="AH53" s="2102"/>
      <c r="AI53" s="2272"/>
      <c r="AJ53" s="2176"/>
      <c r="AK53" s="2286"/>
      <c r="AL53" s="2102"/>
      <c r="AM53" s="2156"/>
      <c r="AN53" s="2176"/>
      <c r="AO53" s="2299"/>
      <c r="AP53" s="2301"/>
      <c r="AQ53" s="253"/>
      <c r="AR53" s="353"/>
      <c r="AS53" s="353" t="s">
        <v>504</v>
      </c>
      <c r="AT53" s="1320"/>
      <c r="AU53" s="1423"/>
      <c r="AV53" s="1320"/>
      <c r="AW53" s="1423"/>
      <c r="AX53" s="1320"/>
      <c r="AY53" s="1320"/>
      <c r="AZ53" s="1320"/>
      <c r="BA53" s="1320"/>
      <c r="BB53" s="1324"/>
      <c r="BC53" s="2243"/>
      <c r="BE53" s="437"/>
      <c r="BF53" s="437"/>
      <c r="BG53" s="437"/>
      <c r="BH53" s="437"/>
      <c r="BI53" s="1082">
        <v>11</v>
      </c>
    </row>
    <row r="54" spans="1:61" ht="11.45" customHeight="1">
      <c r="A54" s="1290" t="s">
        <v>263</v>
      </c>
      <c r="B54" s="1290"/>
      <c r="C54" s="1290"/>
      <c r="D54" s="1290"/>
      <c r="E54" s="2220"/>
      <c r="F54" s="2220"/>
      <c r="G54" s="2220"/>
      <c r="H54" s="2220"/>
      <c r="I54" s="2222"/>
      <c r="J54" s="2222"/>
      <c r="K54" s="2221"/>
      <c r="L54" s="1291"/>
      <c r="P54" s="2223"/>
      <c r="Q54" s="2223"/>
      <c r="R54" s="294"/>
      <c r="S54" s="2277"/>
      <c r="T54" s="2297"/>
      <c r="U54" s="237"/>
      <c r="V54" s="1320"/>
      <c r="W54" s="1423"/>
      <c r="X54" s="1320"/>
      <c r="Y54" s="1423"/>
      <c r="Z54" s="1320"/>
      <c r="AA54" s="1320"/>
      <c r="AB54" s="1320"/>
      <c r="AC54" s="1320"/>
      <c r="AD54" s="2164"/>
      <c r="AE54" s="2272"/>
      <c r="AF54" s="2176"/>
      <c r="AG54" s="2295"/>
      <c r="AH54" s="2102"/>
      <c r="AI54" s="2272"/>
      <c r="AJ54" s="2176"/>
      <c r="AK54" s="2286"/>
      <c r="AL54" s="2102"/>
      <c r="AM54" s="253"/>
      <c r="AN54" s="1427"/>
      <c r="AO54" s="1427" t="s">
        <v>505</v>
      </c>
      <c r="AP54" s="353"/>
      <c r="AQ54" s="353"/>
      <c r="AR54" s="353"/>
      <c r="AS54" s="1320"/>
      <c r="AT54" s="1320"/>
      <c r="AU54" s="1423"/>
      <c r="AV54" s="1320"/>
      <c r="AW54" s="1423"/>
      <c r="AX54" s="1320"/>
      <c r="AY54" s="1320"/>
      <c r="AZ54" s="1320"/>
      <c r="BA54" s="1320"/>
      <c r="BB54" s="1324"/>
      <c r="BC54" s="2243"/>
      <c r="BE54" s="437"/>
      <c r="BF54" s="437"/>
      <c r="BG54" s="437"/>
      <c r="BH54" s="437"/>
      <c r="BI54" s="1082">
        <v>11</v>
      </c>
    </row>
    <row r="55" spans="1:61" ht="11.45" customHeight="1">
      <c r="A55" s="1290" t="s">
        <v>263</v>
      </c>
      <c r="B55" s="1290"/>
      <c r="C55" s="1290"/>
      <c r="D55" s="1290"/>
      <c r="E55" s="2220"/>
      <c r="F55" s="2220"/>
      <c r="G55" s="2220"/>
      <c r="H55" s="2220"/>
      <c r="I55" s="2222"/>
      <c r="J55" s="2222"/>
      <c r="K55" s="2221"/>
      <c r="L55" s="1291"/>
      <c r="P55" s="2223"/>
      <c r="Q55" s="2223"/>
      <c r="R55" s="294"/>
      <c r="S55" s="2277"/>
      <c r="T55" s="2297"/>
      <c r="U55" s="237"/>
      <c r="V55" s="1320"/>
      <c r="W55" s="1423"/>
      <c r="X55" s="1320"/>
      <c r="Y55" s="1423"/>
      <c r="Z55" s="1320"/>
      <c r="AA55" s="1320"/>
      <c r="AB55" s="1320"/>
      <c r="AC55" s="1320"/>
      <c r="AD55" s="2164"/>
      <c r="AE55" s="2272"/>
      <c r="AF55" s="2176"/>
      <c r="AG55" s="2295"/>
      <c r="AH55" s="2102"/>
      <c r="AI55" s="231"/>
      <c r="AJ55" s="352"/>
      <c r="AK55" s="250" t="s">
        <v>506</v>
      </c>
      <c r="AL55" s="1320"/>
      <c r="AM55" s="1320"/>
      <c r="AN55" s="1320"/>
      <c r="AO55" s="1320"/>
      <c r="AP55" s="1320"/>
      <c r="AQ55" s="1320"/>
      <c r="AR55" s="1320"/>
      <c r="AS55" s="1320"/>
      <c r="AT55" s="1320"/>
      <c r="AU55" s="1423"/>
      <c r="AV55" s="1320"/>
      <c r="AW55" s="1423"/>
      <c r="AX55" s="1320"/>
      <c r="AY55" s="1320"/>
      <c r="AZ55" s="1320"/>
      <c r="BA55" s="1320"/>
      <c r="BB55" s="1324"/>
      <c r="BC55" s="2243"/>
      <c r="BE55" s="437"/>
      <c r="BF55" s="437"/>
      <c r="BG55" s="437"/>
      <c r="BH55" s="437"/>
      <c r="BI55" s="1082">
        <v>11</v>
      </c>
    </row>
    <row r="56" spans="1:61" ht="11.45" customHeight="1">
      <c r="A56" s="1290" t="s">
        <v>263</v>
      </c>
      <c r="B56" s="1290" t="s">
        <v>264</v>
      </c>
      <c r="C56" s="1290" t="s">
        <v>265</v>
      </c>
      <c r="D56" s="1290" t="s">
        <v>546</v>
      </c>
      <c r="E56" s="2220"/>
      <c r="F56" s="2220"/>
      <c r="G56" s="2220"/>
      <c r="H56" s="2220"/>
      <c r="I56" s="2222"/>
      <c r="J56" s="2222"/>
      <c r="K56" s="2221"/>
      <c r="L56" s="1291"/>
      <c r="P56" s="2223"/>
      <c r="Q56" s="2223"/>
      <c r="R56" s="294"/>
      <c r="S56" s="2278"/>
      <c r="T56" s="2298"/>
      <c r="U56" s="237"/>
      <c r="V56" s="1320"/>
      <c r="W56" s="1321" t="str">
        <f>Z52&amp;"-"&amp;AB52</f>
        <v>-</v>
      </c>
      <c r="X56" s="1320"/>
      <c r="Y56" s="1321" t="str">
        <f>AB52&amp;"-"&amp;AD52</f>
        <v>-да</v>
      </c>
      <c r="Z56" s="1320"/>
      <c r="AA56" s="1320"/>
      <c r="AB56" s="1320"/>
      <c r="AC56" s="1320"/>
      <c r="AD56" s="2107"/>
      <c r="AE56" s="249"/>
      <c r="AF56" s="251"/>
      <c r="AG56" s="353" t="s">
        <v>507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43"/>
      <c r="BE56" s="437"/>
      <c r="BF56" s="437" t="str">
        <f t="shared" ref="BF56:BF63" si="4">IF(T56="","",T56)</f>
        <v/>
      </c>
      <c r="BG56" s="437"/>
      <c r="BH56" s="437"/>
      <c r="BI56" s="1082">
        <v>11</v>
      </c>
    </row>
    <row r="57" spans="1:61" ht="11.45" customHeight="1">
      <c r="A57" s="1290" t="s">
        <v>263</v>
      </c>
      <c r="B57" s="1290" t="s">
        <v>264</v>
      </c>
      <c r="C57" s="1290" t="s">
        <v>265</v>
      </c>
      <c r="D57" s="1290" t="s">
        <v>546</v>
      </c>
      <c r="E57" s="2220"/>
      <c r="F57" s="2220"/>
      <c r="G57" s="2220"/>
      <c r="H57" s="2220"/>
      <c r="I57" s="2222"/>
      <c r="J57" s="2221"/>
      <c r="K57" s="1290"/>
      <c r="L57" s="1291"/>
      <c r="P57" s="2223"/>
      <c r="Q57" s="2223"/>
      <c r="R57" s="293"/>
      <c r="S57" s="1205"/>
      <c r="T57" s="224" t="s">
        <v>470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44"/>
      <c r="BE57" s="437"/>
      <c r="BF57" s="437" t="str">
        <f t="shared" si="4"/>
        <v>Добавить строку</v>
      </c>
      <c r="BG57" s="437"/>
      <c r="BH57" s="437"/>
      <c r="BI57" s="1082">
        <v>11</v>
      </c>
    </row>
    <row r="58" spans="1:61" s="1569" customFormat="1" ht="0" hidden="1" customHeight="1">
      <c r="A58" s="1270" t="s">
        <v>263</v>
      </c>
      <c r="B58" s="1270" t="s">
        <v>264</v>
      </c>
      <c r="C58" s="1270" t="s">
        <v>265</v>
      </c>
      <c r="D58" s="1270" t="s">
        <v>546</v>
      </c>
      <c r="E58" s="2220"/>
      <c r="F58" s="2220"/>
      <c r="G58" s="2220"/>
      <c r="H58" s="2220"/>
      <c r="I58" s="2221"/>
      <c r="J58" s="1270"/>
      <c r="K58" s="1270"/>
      <c r="L58" s="1273"/>
      <c r="M58" s="447"/>
      <c r="N58" s="447"/>
      <c r="O58" s="447"/>
      <c r="P58" s="222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263</v>
      </c>
      <c r="B59" s="1270" t="s">
        <v>264</v>
      </c>
      <c r="C59" s="1270" t="s">
        <v>265</v>
      </c>
      <c r="D59" s="1270" t="s">
        <v>546</v>
      </c>
      <c r="E59" s="2220"/>
      <c r="F59" s="2220"/>
      <c r="G59" s="2220"/>
      <c r="H59" s="221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263</v>
      </c>
      <c r="B60" s="1270" t="s">
        <v>264</v>
      </c>
      <c r="C60" s="1270" t="s">
        <v>265</v>
      </c>
      <c r="D60" s="1241"/>
      <c r="E60" s="2220"/>
      <c r="F60" s="2220"/>
      <c r="G60" s="221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263</v>
      </c>
      <c r="B61" s="1270" t="s">
        <v>264</v>
      </c>
      <c r="C61" s="1241"/>
      <c r="D61" s="1241"/>
      <c r="E61" s="2220"/>
      <c r="F61" s="2219"/>
      <c r="G61" s="1241"/>
      <c r="H61" s="1241"/>
      <c r="I61" s="1241"/>
      <c r="J61" s="1241"/>
      <c r="K61" s="1241"/>
      <c r="L61" s="1421"/>
      <c r="M61" s="1248"/>
      <c r="N61" s="1248"/>
      <c r="P61" s="1243"/>
      <c r="Q61" s="1244"/>
      <c r="R61" s="1243"/>
      <c r="S61" s="1249"/>
      <c r="T61" s="1252" t="s">
        <v>417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263</v>
      </c>
      <c r="B62" s="1270"/>
      <c r="C62" s="1270"/>
      <c r="D62" s="1270"/>
      <c r="E62" s="2219"/>
      <c r="F62" s="1270"/>
      <c r="G62" s="1270"/>
      <c r="H62" s="1270"/>
      <c r="I62" s="1270"/>
      <c r="J62" s="1270"/>
      <c r="K62" s="1270"/>
      <c r="L62" s="1273"/>
      <c r="M62" s="1248"/>
      <c r="N62" s="1248"/>
      <c r="O62" s="455"/>
      <c r="P62" s="317"/>
      <c r="Q62" s="1271"/>
      <c r="R62" s="317"/>
      <c r="S62" s="1249"/>
      <c r="T62" s="1252" t="s">
        <v>418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18"/>
      <c r="U65" s="2218"/>
      <c r="V65" s="2218"/>
      <c r="W65" s="2218"/>
      <c r="X65" s="2218"/>
      <c r="Y65" s="2218"/>
      <c r="Z65" s="2218"/>
      <c r="AA65" s="2218"/>
      <c r="AB65" s="2218"/>
      <c r="AC65" s="2218"/>
      <c r="AD65" s="2218"/>
      <c r="AE65" s="2218"/>
      <c r="AF65" s="2218"/>
      <c r="AG65" s="2218"/>
      <c r="AH65" s="2218"/>
      <c r="AI65" s="2218"/>
      <c r="AJ65" s="2218"/>
      <c r="AK65" s="2218"/>
      <c r="AL65" s="2218"/>
      <c r="AM65" s="2218"/>
      <c r="AN65" s="2218"/>
      <c r="AO65" s="2218"/>
      <c r="AP65" s="2218"/>
      <c r="AQ65" s="2218"/>
      <c r="AR65" s="2218"/>
      <c r="AS65" s="2218"/>
      <c r="AT65" s="2218"/>
      <c r="AU65" s="2218"/>
      <c r="AV65" s="2218"/>
      <c r="AW65" s="2218"/>
      <c r="AX65" s="2218"/>
      <c r="AY65" s="2218"/>
      <c r="AZ65" s="2218"/>
      <c r="BA65" s="2218"/>
      <c r="BB65" s="2218"/>
      <c r="BC65" s="221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18"/>
      <c r="U67" s="2218"/>
      <c r="V67" s="2218"/>
      <c r="W67" s="2218"/>
      <c r="X67" s="2218"/>
      <c r="Y67" s="2218"/>
      <c r="Z67" s="2218"/>
      <c r="AA67" s="2218"/>
      <c r="AB67" s="2218"/>
      <c r="AC67" s="2218"/>
      <c r="AD67" s="2218"/>
      <c r="AE67" s="2218"/>
      <c r="AF67" s="2218"/>
      <c r="AG67" s="2218"/>
      <c r="AH67" s="2218"/>
      <c r="AI67" s="2218"/>
      <c r="AJ67" s="2218"/>
      <c r="AK67" s="2218"/>
      <c r="AL67" s="2218"/>
      <c r="AM67" s="2218"/>
      <c r="AN67" s="2218"/>
      <c r="AO67" s="2218"/>
      <c r="AP67" s="2218"/>
      <c r="AQ67" s="2218"/>
      <c r="AR67" s="2218"/>
      <c r="AS67" s="2218"/>
      <c r="AT67" s="2218"/>
      <c r="AU67" s="2218"/>
      <c r="AV67" s="2218"/>
      <c r="AW67" s="2218"/>
      <c r="AX67" s="2218"/>
      <c r="AY67" s="2218"/>
      <c r="AZ67" s="2218"/>
      <c r="BA67" s="2218"/>
      <c r="BB67" s="2218"/>
      <c r="BC67" s="221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ht="22.5" hidden="1" customHeight="1">
      <c r="AG1" s="1558" t="s">
        <v>14</v>
      </c>
    </row>
    <row r="2" spans="1:33" ht="23.25" hidden="1" customHeight="1">
      <c r="B2" s="2076"/>
      <c r="C2" s="1094" t="s">
        <v>547</v>
      </c>
      <c r="D2" s="1565"/>
      <c r="E2" s="483">
        <f>B2</f>
        <v>0</v>
      </c>
      <c r="F2" s="484"/>
      <c r="G2" s="1573" t="s">
        <v>548</v>
      </c>
      <c r="H2" s="1573" t="s">
        <v>548</v>
      </c>
      <c r="I2" s="1573" t="s">
        <v>548</v>
      </c>
      <c r="J2" s="2011" t="s">
        <v>548</v>
      </c>
      <c r="K2" s="226" t="s">
        <v>549</v>
      </c>
      <c r="L2" s="480"/>
      <c r="AG2" s="1558">
        <v>0</v>
      </c>
    </row>
    <row r="3" spans="1:33" s="1569" customFormat="1" ht="0.75" hidden="1" customHeight="1">
      <c r="B3" s="2076"/>
      <c r="C3" s="1094"/>
      <c r="D3" s="485"/>
      <c r="E3" s="486"/>
      <c r="F3" s="487" t="s">
        <v>550</v>
      </c>
      <c r="G3" s="488"/>
      <c r="H3" s="488">
        <f>H4*H5+H7</f>
        <v>0</v>
      </c>
      <c r="I3" s="488">
        <f>I4*I5+I6</f>
        <v>0</v>
      </c>
      <c r="J3" s="1300">
        <f>J4*J5+J7</f>
        <v>0</v>
      </c>
      <c r="K3" s="489"/>
      <c r="AG3" s="1563">
        <v>0</v>
      </c>
    </row>
    <row r="4" spans="1:33" ht="23.25" hidden="1" customHeight="1">
      <c r="B4" s="2076"/>
      <c r="C4" s="1094"/>
      <c r="D4" s="1565"/>
      <c r="E4" s="483" t="str">
        <f>B2&amp;".1"</f>
        <v>.1</v>
      </c>
      <c r="F4" s="490" t="s">
        <v>551</v>
      </c>
      <c r="G4" s="491"/>
      <c r="H4" s="478"/>
      <c r="I4" s="478"/>
      <c r="J4" s="688"/>
      <c r="K4" s="226" t="s">
        <v>552</v>
      </c>
      <c r="L4" s="480"/>
      <c r="AG4" s="1558">
        <v>0</v>
      </c>
    </row>
    <row r="5" spans="1:33" ht="18.75" hidden="1" customHeight="1">
      <c r="B5" s="2076"/>
      <c r="C5" s="1094"/>
      <c r="D5" s="1565"/>
      <c r="E5" s="483" t="str">
        <f>B2&amp;".2"</f>
        <v>.2</v>
      </c>
      <c r="F5" s="490" t="s">
        <v>553</v>
      </c>
      <c r="G5" s="1573" t="s">
        <v>554</v>
      </c>
      <c r="H5" s="478"/>
      <c r="I5" s="478"/>
      <c r="J5" s="688"/>
      <c r="K5" s="226"/>
      <c r="L5" s="480"/>
      <c r="AG5" s="1558">
        <v>0</v>
      </c>
    </row>
    <row r="6" spans="1:33" ht="18.75" hidden="1" customHeight="1">
      <c r="B6" s="2076"/>
      <c r="C6" s="1094"/>
      <c r="D6" s="1565"/>
      <c r="E6" s="483" t="str">
        <f>B2&amp;".3"</f>
        <v>.3</v>
      </c>
      <c r="F6" s="490" t="s">
        <v>555</v>
      </c>
      <c r="G6" s="1573" t="s">
        <v>554</v>
      </c>
      <c r="H6" s="478"/>
      <c r="I6" s="478"/>
      <c r="J6" s="688"/>
      <c r="K6" s="226"/>
      <c r="L6" s="480"/>
      <c r="AG6" s="1558">
        <v>0</v>
      </c>
    </row>
    <row r="7" spans="1:33" ht="18.75" hidden="1" customHeight="1">
      <c r="B7" s="2076"/>
      <c r="C7" s="1094"/>
      <c r="D7" s="1565"/>
      <c r="E7" s="483" t="str">
        <f>B2&amp;".4"</f>
        <v>.4</v>
      </c>
      <c r="F7" s="490" t="s">
        <v>556</v>
      </c>
      <c r="G7" s="1573" t="s">
        <v>548</v>
      </c>
      <c r="H7" s="492"/>
      <c r="I7" s="492"/>
      <c r="J7" s="492"/>
      <c r="K7" s="226"/>
      <c r="L7" s="480"/>
      <c r="AG7" s="1558">
        <v>0</v>
      </c>
    </row>
    <row r="8" spans="1:33" s="1293" customFormat="1" ht="11.25" hidden="1" customHeight="1">
      <c r="A8" s="917"/>
      <c r="C8" s="1563"/>
      <c r="D8" s="474"/>
      <c r="H8" s="1087">
        <v>4</v>
      </c>
      <c r="I8" s="1087">
        <v>4</v>
      </c>
      <c r="J8" s="1293">
        <v>4</v>
      </c>
      <c r="M8" s="1563"/>
      <c r="N8" s="1563"/>
      <c r="S8" s="1563"/>
      <c r="AG8" s="1087">
        <v>0</v>
      </c>
    </row>
    <row r="9" spans="1:33" s="1293" customFormat="1" ht="22.5" hidden="1" customHeight="1">
      <c r="A9" s="917"/>
      <c r="C9" s="1563"/>
      <c r="D9" s="475"/>
      <c r="E9" s="1575"/>
      <c r="F9" s="477"/>
      <c r="G9" s="1573" t="s">
        <v>554</v>
      </c>
      <c r="H9" s="478"/>
      <c r="I9" s="478"/>
      <c r="J9" s="688"/>
      <c r="K9" s="479" t="s">
        <v>557</v>
      </c>
      <c r="L9" s="480"/>
      <c r="M9" s="1563"/>
      <c r="N9" s="1563"/>
      <c r="S9" s="1563"/>
      <c r="V9" s="481"/>
      <c r="AB9" s="1559"/>
      <c r="AC9" s="1559"/>
      <c r="AD9" s="1559"/>
      <c r="AE9" s="1559"/>
      <c r="AF9" s="1559"/>
      <c r="AG9" s="1087">
        <v>0</v>
      </c>
    </row>
    <row r="10" spans="1:33" ht="11.25" hidden="1" customHeight="1">
      <c r="AG10" s="1558">
        <v>0</v>
      </c>
    </row>
    <row r="11" spans="1:33" ht="18.75" hidden="1" customHeight="1">
      <c r="D11" s="1565"/>
      <c r="E11" s="483"/>
      <c r="F11" s="477"/>
      <c r="G11" s="1573" t="s">
        <v>558</v>
      </c>
      <c r="H11" s="478"/>
      <c r="I11" s="478"/>
      <c r="J11" s="688"/>
      <c r="K11" s="226" t="s">
        <v>559</v>
      </c>
      <c r="L11" s="480"/>
      <c r="AG11" s="1558">
        <v>0</v>
      </c>
    </row>
    <row r="12" spans="1:33" ht="11.25" hidden="1" customHeight="1">
      <c r="AG12" s="1558">
        <v>0</v>
      </c>
    </row>
    <row r="13" spans="1:33" ht="22.5" hidden="1" customHeight="1">
      <c r="D13" s="1565"/>
      <c r="E13" s="483"/>
      <c r="F13" s="477"/>
      <c r="G13" s="899" t="s">
        <v>560</v>
      </c>
      <c r="H13" s="482"/>
      <c r="I13" s="482"/>
      <c r="J13" s="482"/>
      <c r="K13" s="682" t="s">
        <v>561</v>
      </c>
      <c r="L13" s="480"/>
      <c r="AG13" s="1558">
        <v>0</v>
      </c>
    </row>
    <row r="14" spans="1:33" ht="11.25" hidden="1" customHeight="1">
      <c r="AG14" s="1558">
        <v>0</v>
      </c>
    </row>
    <row r="15" spans="1:33" ht="22.5" hidden="1" customHeight="1">
      <c r="D15" s="1565"/>
      <c r="E15" s="483"/>
      <c r="F15" s="477"/>
      <c r="G15" s="1573" t="s">
        <v>562</v>
      </c>
      <c r="H15" s="482"/>
      <c r="I15" s="482"/>
      <c r="J15" s="482"/>
      <c r="K15" s="226" t="s">
        <v>563</v>
      </c>
      <c r="L15" s="480"/>
      <c r="AG15" s="1558">
        <v>0</v>
      </c>
    </row>
    <row r="16" spans="1:33" ht="11.25" hidden="1" customHeight="1">
      <c r="AG16" s="1558">
        <v>0</v>
      </c>
    </row>
    <row r="17" spans="1:33" ht="22.5" hidden="1" customHeight="1">
      <c r="D17" s="1565"/>
      <c r="E17" s="483"/>
      <c r="F17" s="477"/>
      <c r="G17" s="1573" t="s">
        <v>564</v>
      </c>
      <c r="H17" s="482"/>
      <c r="I17" s="482"/>
      <c r="J17" s="482"/>
      <c r="K17" s="226" t="s">
        <v>565</v>
      </c>
      <c r="L17" s="480"/>
      <c r="AG17" s="1558">
        <v>0</v>
      </c>
    </row>
    <row r="18" spans="1:33" ht="11.25" hidden="1" customHeight="1">
      <c r="AG18" s="1558">
        <v>0</v>
      </c>
    </row>
    <row r="19" spans="1:33" s="1559" customFormat="1" ht="11.25" hidden="1" customHeight="1">
      <c r="A19" s="917"/>
      <c r="B19" s="1087"/>
      <c r="C19" s="1563"/>
      <c r="D19" s="299"/>
      <c r="K19" s="1559">
        <v>4</v>
      </c>
      <c r="L19" s="1087"/>
      <c r="M19" s="1563"/>
      <c r="N19" s="1563"/>
      <c r="O19" s="1087"/>
      <c r="P19" s="1087"/>
      <c r="Q19" s="1087"/>
      <c r="R19" s="1087"/>
      <c r="S19" s="1563"/>
      <c r="T19" s="1087"/>
      <c r="U19" s="1087"/>
      <c r="V19" s="481"/>
      <c r="W19" s="1087"/>
      <c r="X19" s="1087"/>
      <c r="Y19" s="1087"/>
      <c r="Z19" s="1087"/>
      <c r="AA19" s="1087"/>
      <c r="AG19" s="1559">
        <v>0</v>
      </c>
    </row>
    <row r="20" spans="1:33" ht="11.45" customHeight="1">
      <c r="AG20" s="1558">
        <v>11</v>
      </c>
    </row>
    <row r="21" spans="1:33" ht="25.15" customHeight="1">
      <c r="E21" s="220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00"/>
      <c r="G21" s="2200"/>
      <c r="H21" s="2200"/>
      <c r="I21" s="2200"/>
      <c r="J21" s="2004"/>
      <c r="K21" s="493"/>
      <c r="AG21" s="1558">
        <v>24</v>
      </c>
    </row>
    <row r="22" spans="1:33" ht="25.15" customHeight="1">
      <c r="E22" s="2172" t="str">
        <f>IF(org=0,"Не определено",org)</f>
        <v>МУП "Михайловское водопроводно-канализационное хозяйство"</v>
      </c>
      <c r="F22" s="2172"/>
      <c r="G22" s="2172"/>
      <c r="H22" s="2172"/>
      <c r="I22" s="2172"/>
      <c r="J22" s="2005"/>
      <c r="AG22" s="1558">
        <v>24</v>
      </c>
    </row>
    <row r="23" spans="1:33" ht="11.45" customHeight="1">
      <c r="E23" s="1062"/>
      <c r="F23" s="1062"/>
      <c r="G23" s="1062"/>
      <c r="H23" s="1062"/>
      <c r="I23" s="1062"/>
      <c r="J23" s="1063" t="s">
        <v>22</v>
      </c>
      <c r="AG23" s="1558">
        <v>11</v>
      </c>
    </row>
    <row r="24" spans="1:33" s="1569" customFormat="1" ht="1.1499999999999999" customHeight="1">
      <c r="A24" s="1094"/>
      <c r="H24" s="819"/>
      <c r="I24" s="819" t="s">
        <v>117</v>
      </c>
      <c r="J24" s="819" t="s">
        <v>122</v>
      </c>
      <c r="AG24" s="1563">
        <v>1</v>
      </c>
    </row>
    <row r="25" spans="1:33" ht="11.45" customHeight="1">
      <c r="E25" s="648"/>
      <c r="F25" s="2306" t="s">
        <v>104</v>
      </c>
      <c r="G25" s="2307"/>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водоснабжения</v>
      </c>
      <c r="J25" s="2015" t="str">
        <f>IF(J24="","",INDEX(DIFFERENTIATION_UNMERGE_VD,MATCH(J24,DIFFERENTIATION_ID_DIFF,0)))</f>
        <v>Подключение (технологическое присоединение) к централизованной системе водоснабжения</v>
      </c>
      <c r="K25" s="2091"/>
      <c r="AG25" s="1558">
        <v>11</v>
      </c>
    </row>
    <row r="26" spans="1:33" ht="11.45" customHeight="1">
      <c r="E26" s="648"/>
      <c r="F26" s="2306" t="s">
        <v>566</v>
      </c>
      <c r="G26" s="2307"/>
      <c r="H26" s="1579" t="str">
        <f>IF(H24="","",INDEX(DIFFERENTIATION_UNMERGE_AREA,MATCH(H24,DIFFERENTIATION_ID_DIFF,0)))</f>
        <v/>
      </c>
      <c r="I26" s="1579" t="str">
        <f>IF(I24="","",INDEX(DIFFERENTIATION_UNMERGE_AREA,MATCH(I24,DIFFERENTIATION_ID_DIFF,0)))</f>
        <v>без дифференциации</v>
      </c>
      <c r="J26" s="2015" t="str">
        <f>IF(J24="","",INDEX(DIFFERENTIATION_UNMERGE_AREA,MATCH(J24,DIFFERENTIATION_ID_DIFF,0)))</f>
        <v>без дифференциации</v>
      </c>
      <c r="K26" s="2091"/>
      <c r="AG26" s="1558">
        <v>11</v>
      </c>
    </row>
    <row r="27" spans="1:33" ht="11.45" customHeight="1">
      <c r="E27" s="648"/>
      <c r="F27" s="2306" t="s">
        <v>567</v>
      </c>
      <c r="G27" s="2307"/>
      <c r="H27" s="1579" t="str">
        <f>IF(H24="","",INDEX(DIFFERENTIATION_UNMERGE_SYSTEM,MATCH(H24,DIFFERENTIATION_ID_DIFF,0)))</f>
        <v/>
      </c>
      <c r="I27" s="1579" t="str">
        <f>IF(I24="","",INDEX(DIFFERENTIATION_UNMERGE_SYSTEM,MATCH(I24,DIFFERENTIATION_ID_DIFF,0)))</f>
        <v>Централизованная система водоснабжения (питьевая вода)</v>
      </c>
      <c r="J27" s="2015" t="str">
        <f>IF(J24="","",INDEX(DIFFERENTIATION_UNMERGE_SYSTEM,MATCH(J24,DIFFERENTIATION_ID_DIFF,0)))</f>
        <v>Централизованная система водоснабжения (техническая вода)</v>
      </c>
      <c r="K27" s="2091"/>
      <c r="AG27" s="1558">
        <v>11</v>
      </c>
    </row>
    <row r="28" spans="1:33" ht="11.45" customHeight="1">
      <c r="E28" s="2308" t="s">
        <v>302</v>
      </c>
      <c r="F28" s="2309"/>
      <c r="G28" s="2309"/>
      <c r="H28" s="1572"/>
      <c r="I28" s="1572"/>
      <c r="J28" s="2013"/>
      <c r="K28" s="2091"/>
      <c r="AG28" s="1558">
        <v>11</v>
      </c>
    </row>
    <row r="29" spans="1:33" ht="24" customHeight="1">
      <c r="E29" s="1573" t="s">
        <v>87</v>
      </c>
      <c r="F29" s="1580" t="s">
        <v>304</v>
      </c>
      <c r="G29" s="1580" t="s">
        <v>568</v>
      </c>
      <c r="H29" s="1580" t="s">
        <v>305</v>
      </c>
      <c r="I29" s="1580" t="s">
        <v>305</v>
      </c>
      <c r="J29" s="2011" t="s">
        <v>305</v>
      </c>
      <c r="K29" s="2091"/>
      <c r="AG29" s="1558">
        <v>23</v>
      </c>
    </row>
    <row r="30" spans="1:33" ht="19.899999999999999" customHeight="1">
      <c r="D30" s="1565"/>
      <c r="E30" s="483">
        <f>FHD_NUM_P_1</f>
        <v>1</v>
      </c>
      <c r="F30" s="1806" t="str">
        <f>FHD_P_1</f>
        <v>Выручка от регулируемых видов деятельности в сфере холодного водоснабжения</v>
      </c>
      <c r="G30" s="1804" t="s">
        <v>554</v>
      </c>
      <c r="H30" s="494"/>
      <c r="I30" s="494"/>
      <c r="J30" s="494"/>
      <c r="K30" s="226" t="str">
        <f>FHD_NOTE_P_1</f>
        <v>Указывается выручка с распределением по видам деятельности.</v>
      </c>
      <c r="L30" s="480"/>
      <c r="AG30" s="1558">
        <v>19</v>
      </c>
    </row>
    <row r="31" spans="1:33" ht="11.45" customHeight="1">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554</v>
      </c>
      <c r="H31" s="495">
        <f>SUMIF($L33:$L71,$L31,H33:H71)</f>
        <v>0</v>
      </c>
      <c r="I31" s="495">
        <f>SUMIF($L33:$L71,$L31,I33:I71)</f>
        <v>0</v>
      </c>
      <c r="J31" s="495">
        <f>SUMIF($L33:$L71,$L31,J33:J71)</f>
        <v>0</v>
      </c>
      <c r="K31" s="226" t="str">
        <f>FHD_NOTE_P_2</f>
        <v>Указывается суммарная себестоимость производимых товаров.</v>
      </c>
      <c r="L31" s="1563" t="s">
        <v>569</v>
      </c>
      <c r="AG31" s="1558">
        <v>11</v>
      </c>
    </row>
    <row r="32" spans="1:33"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554</v>
      </c>
      <c r="H32" s="494"/>
      <c r="I32" s="494"/>
      <c r="J32" s="494"/>
      <c r="K32" s="226" t="str">
        <f>FHD_NOTE_P_3</f>
        <v/>
      </c>
      <c r="L32" s="1563" t="str">
        <f t="shared" ref="L32:L70" si="0">IF((LEN(E32)-LEN(SUBSTITUTE(E32,".","")))/LEN(".")=1,"p","")</f>
        <v>p</v>
      </c>
      <c r="AG32" s="1558">
        <v>11</v>
      </c>
    </row>
    <row r="33" spans="1:33" ht="11.25" hidden="1" customHeight="1">
      <c r="A33" s="2304" t="s">
        <v>570</v>
      </c>
      <c r="D33" s="1565"/>
      <c r="E33" s="483" t="str">
        <f>FHD_NUM_P_4</f>
        <v/>
      </c>
      <c r="F33" s="1451" t="str">
        <f>FHD_P_4</f>
        <v/>
      </c>
      <c r="G33" s="1804" t="s">
        <v>554</v>
      </c>
      <c r="H33" s="495">
        <f>SUMIF($F34:$F40,$F3,H34:H40)</f>
        <v>0</v>
      </c>
      <c r="I33" s="495">
        <f>SUMIF($F34:$F40,$F3,I34:I40)</f>
        <v>0</v>
      </c>
      <c r="J33" s="495">
        <f>SUMIF($F34:$F40,$F3,J34:J40)</f>
        <v>0</v>
      </c>
      <c r="K33" s="226" t="str">
        <f>FHD_NOTE_P_4</f>
        <v/>
      </c>
      <c r="L33" s="1563" t="str">
        <f t="shared" si="0"/>
        <v/>
      </c>
      <c r="AG33" s="1558">
        <v>0</v>
      </c>
    </row>
    <row r="34" spans="1:33" s="1568" customFormat="1" ht="0.75" hidden="1" customHeight="1">
      <c r="A34" s="2304"/>
      <c r="B34" s="2305" t="str">
        <f>E33&amp;".0"</f>
        <v>.0</v>
      </c>
      <c r="C34" s="1094"/>
      <c r="D34" s="497"/>
      <c r="E34" s="498"/>
      <c r="F34" s="499"/>
      <c r="G34" s="500"/>
      <c r="H34" s="434"/>
      <c r="I34" s="434"/>
      <c r="J34" s="434"/>
      <c r="K34" s="501"/>
      <c r="L34" s="1563" t="str">
        <f t="shared" si="0"/>
        <v/>
      </c>
      <c r="M34" s="1563"/>
      <c r="N34" s="1563"/>
      <c r="O34" s="1563"/>
      <c r="P34" s="1563"/>
      <c r="Q34" s="1563"/>
      <c r="R34" s="1563"/>
      <c r="S34" s="1563"/>
      <c r="T34" s="1563"/>
      <c r="U34" s="1563"/>
      <c r="V34" s="502"/>
      <c r="W34" s="1563"/>
      <c r="X34" s="1563"/>
      <c r="Y34" s="1563"/>
      <c r="Z34" s="1563"/>
      <c r="AA34" s="1563"/>
      <c r="AB34" s="503"/>
      <c r="AC34" s="503"/>
      <c r="AD34" s="503"/>
      <c r="AE34" s="503"/>
      <c r="AF34" s="503"/>
      <c r="AG34" s="1568">
        <v>0</v>
      </c>
    </row>
    <row r="35" spans="1:33" s="1568" customFormat="1" ht="0.75" hidden="1" customHeight="1">
      <c r="A35" s="2304"/>
      <c r="B35" s="2305"/>
      <c r="C35" s="1094"/>
      <c r="D35" s="497"/>
      <c r="E35" s="504"/>
      <c r="F35" s="505"/>
      <c r="G35" s="500"/>
      <c r="H35" s="506"/>
      <c r="I35" s="506"/>
      <c r="J35" s="506"/>
      <c r="K35" s="501"/>
      <c r="L35" s="1563" t="str">
        <f t="shared" si="0"/>
        <v/>
      </c>
      <c r="M35" s="1563"/>
      <c r="N35" s="1563"/>
      <c r="O35" s="1563"/>
      <c r="P35" s="1563"/>
      <c r="Q35" s="1563"/>
      <c r="R35" s="1563"/>
      <c r="S35" s="1563"/>
      <c r="T35" s="1563"/>
      <c r="U35" s="1563"/>
      <c r="V35" s="502"/>
      <c r="W35" s="1563"/>
      <c r="X35" s="1563"/>
      <c r="Y35" s="1563"/>
      <c r="Z35" s="1563"/>
      <c r="AA35" s="1563"/>
      <c r="AB35" s="503"/>
      <c r="AC35" s="503"/>
      <c r="AD35" s="503"/>
      <c r="AE35" s="503"/>
      <c r="AF35" s="503"/>
      <c r="AG35" s="1568">
        <v>0</v>
      </c>
    </row>
    <row r="36" spans="1:33" s="1568" customFormat="1" ht="0.75" hidden="1" customHeight="1">
      <c r="A36" s="2304"/>
      <c r="B36" s="2305"/>
      <c r="C36" s="1094"/>
      <c r="D36" s="497"/>
      <c r="E36" s="504"/>
      <c r="F36" s="505"/>
      <c r="G36" s="500"/>
      <c r="H36" s="506"/>
      <c r="I36" s="506"/>
      <c r="J36" s="506"/>
      <c r="K36" s="501"/>
      <c r="L36" s="1563" t="str">
        <f t="shared" si="0"/>
        <v/>
      </c>
      <c r="M36" s="1563"/>
      <c r="N36" s="1563"/>
      <c r="O36" s="1563"/>
      <c r="P36" s="1563"/>
      <c r="Q36" s="1563"/>
      <c r="R36" s="1563"/>
      <c r="S36" s="1563"/>
      <c r="T36" s="1563"/>
      <c r="U36" s="1563"/>
      <c r="V36" s="502"/>
      <c r="W36" s="1563"/>
      <c r="X36" s="1563"/>
      <c r="Y36" s="1563"/>
      <c r="Z36" s="1563"/>
      <c r="AA36" s="1563"/>
      <c r="AB36" s="503"/>
      <c r="AC36" s="503"/>
      <c r="AD36" s="503"/>
      <c r="AE36" s="503"/>
      <c r="AF36" s="503"/>
      <c r="AG36" s="1568">
        <v>0</v>
      </c>
    </row>
    <row r="37" spans="1:33" s="1568" customFormat="1" ht="0.75" hidden="1" customHeight="1">
      <c r="A37" s="2304"/>
      <c r="B37" s="2305"/>
      <c r="C37" s="1094"/>
      <c r="D37" s="497"/>
      <c r="E37" s="504"/>
      <c r="F37" s="505"/>
      <c r="G37" s="500"/>
      <c r="H37" s="506"/>
      <c r="I37" s="506"/>
      <c r="J37" s="506"/>
      <c r="K37" s="501"/>
      <c r="L37" s="1563" t="str">
        <f t="shared" si="0"/>
        <v/>
      </c>
      <c r="M37" s="1563"/>
      <c r="N37" s="1563"/>
      <c r="O37" s="1563"/>
      <c r="P37" s="1563"/>
      <c r="Q37" s="1563"/>
      <c r="R37" s="1563"/>
      <c r="S37" s="1563"/>
      <c r="T37" s="1563"/>
      <c r="U37" s="1563"/>
      <c r="V37" s="502"/>
      <c r="W37" s="1563"/>
      <c r="X37" s="1563"/>
      <c r="Y37" s="1563"/>
      <c r="Z37" s="1563"/>
      <c r="AA37" s="1563"/>
      <c r="AB37" s="503"/>
      <c r="AC37" s="503"/>
      <c r="AD37" s="503"/>
      <c r="AE37" s="503"/>
      <c r="AF37" s="503"/>
      <c r="AG37" s="1568">
        <v>0</v>
      </c>
    </row>
    <row r="38" spans="1:33" s="1568" customFormat="1" ht="0.75" hidden="1" customHeight="1">
      <c r="A38" s="2304"/>
      <c r="B38" s="2305"/>
      <c r="C38" s="1094"/>
      <c r="D38" s="497"/>
      <c r="E38" s="504"/>
      <c r="F38" s="505"/>
      <c r="G38" s="500"/>
      <c r="H38" s="506"/>
      <c r="I38" s="506"/>
      <c r="J38" s="506"/>
      <c r="K38" s="501"/>
      <c r="L38" s="1563" t="str">
        <f t="shared" si="0"/>
        <v/>
      </c>
      <c r="M38" s="1563"/>
      <c r="N38" s="1563"/>
      <c r="O38" s="1563"/>
      <c r="P38" s="1563"/>
      <c r="Q38" s="1563"/>
      <c r="R38" s="1563"/>
      <c r="S38" s="1563"/>
      <c r="T38" s="1563"/>
      <c r="U38" s="1563"/>
      <c r="V38" s="502"/>
      <c r="W38" s="1563"/>
      <c r="X38" s="1563"/>
      <c r="Y38" s="1563"/>
      <c r="Z38" s="1563"/>
      <c r="AA38" s="1563"/>
      <c r="AB38" s="503"/>
      <c r="AC38" s="503"/>
      <c r="AD38" s="503"/>
      <c r="AE38" s="503"/>
      <c r="AF38" s="503"/>
      <c r="AG38" s="1568">
        <v>0</v>
      </c>
    </row>
    <row r="39" spans="1:33" s="1568" customFormat="1" ht="0.75" hidden="1" customHeight="1">
      <c r="A39" s="2304"/>
      <c r="B39" s="2305"/>
      <c r="C39" s="1094"/>
      <c r="D39" s="497"/>
      <c r="E39" s="504"/>
      <c r="F39" s="505"/>
      <c r="G39" s="500"/>
      <c r="H39" s="434"/>
      <c r="I39" s="434"/>
      <c r="J39" s="434"/>
      <c r="K39" s="501"/>
      <c r="L39" s="1563" t="str">
        <f t="shared" si="0"/>
        <v/>
      </c>
      <c r="M39" s="1563"/>
      <c r="N39" s="1563"/>
      <c r="O39" s="1563"/>
      <c r="P39" s="1563"/>
      <c r="Q39" s="1563"/>
      <c r="R39" s="1563"/>
      <c r="S39" s="1563"/>
      <c r="T39" s="1563"/>
      <c r="U39" s="1563"/>
      <c r="V39" s="502"/>
      <c r="W39" s="1563"/>
      <c r="X39" s="1563"/>
      <c r="Y39" s="1563"/>
      <c r="Z39" s="1563"/>
      <c r="AA39" s="1563"/>
      <c r="AB39" s="503"/>
      <c r="AC39" s="503"/>
      <c r="AD39" s="503"/>
      <c r="AE39" s="503"/>
      <c r="AF39" s="503"/>
      <c r="AG39" s="1568">
        <v>0</v>
      </c>
    </row>
    <row r="40" spans="1:33" s="1293" customFormat="1" ht="15" hidden="1" customHeight="1">
      <c r="A40" s="2304"/>
      <c r="C40" s="1563"/>
      <c r="D40" s="1560"/>
      <c r="E40" s="507"/>
      <c r="F40" s="508" t="s">
        <v>571</v>
      </c>
      <c r="G40" s="509"/>
      <c r="H40" s="510"/>
      <c r="I40" s="510"/>
      <c r="J40" s="2037"/>
      <c r="K40" s="238"/>
      <c r="L40" s="1563" t="str">
        <f t="shared" si="0"/>
        <v/>
      </c>
      <c r="M40" s="1563"/>
      <c r="N40" s="1563"/>
      <c r="S40" s="1563"/>
      <c r="V40" s="481"/>
      <c r="AB40" s="1559"/>
      <c r="AC40" s="1559"/>
      <c r="AD40" s="1559"/>
      <c r="AE40" s="1559"/>
      <c r="AF40" s="1559"/>
      <c r="AG40" s="1087">
        <v>0</v>
      </c>
    </row>
    <row r="41" spans="1:33" ht="11.25" hidden="1" customHeight="1">
      <c r="A41" s="2304" t="s">
        <v>572</v>
      </c>
      <c r="D41" s="1565"/>
      <c r="E41" s="483" t="str">
        <f>FHD_NUM_P_5</f>
        <v/>
      </c>
      <c r="F41" s="1451" t="str">
        <f>FHD_P_5</f>
        <v/>
      </c>
      <c r="G41" s="1804" t="s">
        <v>554</v>
      </c>
      <c r="H41" s="494"/>
      <c r="I41" s="494"/>
      <c r="J41" s="494"/>
      <c r="K41" s="226" t="str">
        <f>FHD_NOTE_P_5</f>
        <v/>
      </c>
      <c r="L41" s="1563" t="str">
        <f t="shared" si="0"/>
        <v/>
      </c>
      <c r="AG41" s="1558">
        <v>0</v>
      </c>
    </row>
    <row r="42" spans="1:33" ht="11.25" hidden="1" customHeight="1">
      <c r="A42" s="2304"/>
      <c r="D42" s="1565"/>
      <c r="E42" s="483" t="str">
        <f>FHD_NUM_P_6</f>
        <v/>
      </c>
      <c r="F42" s="1451" t="str">
        <f>FHD_P_6</f>
        <v/>
      </c>
      <c r="G42" s="1804" t="s">
        <v>554</v>
      </c>
      <c r="H42" s="494"/>
      <c r="I42" s="494"/>
      <c r="J42" s="494"/>
      <c r="K42" s="226" t="str">
        <f>FHD_NOTE_P_6</f>
        <v/>
      </c>
      <c r="L42" s="1563" t="str">
        <f t="shared" si="0"/>
        <v/>
      </c>
      <c r="AG42" s="1558">
        <v>0</v>
      </c>
    </row>
    <row r="43" spans="1:33" ht="11.25" hidden="1" customHeight="1">
      <c r="A43" s="2304"/>
      <c r="D43" s="1565"/>
      <c r="E43" s="483" t="str">
        <f>FHD_NUM_P_7</f>
        <v/>
      </c>
      <c r="F43" s="1451" t="str">
        <f>FHD_P_7</f>
        <v/>
      </c>
      <c r="G43" s="1804" t="s">
        <v>554</v>
      </c>
      <c r="H43" s="494"/>
      <c r="I43" s="494"/>
      <c r="J43" s="494"/>
      <c r="K43" s="226" t="str">
        <f>FHD_NOTE_P_7</f>
        <v/>
      </c>
      <c r="L43" s="1563" t="str">
        <f t="shared" si="0"/>
        <v/>
      </c>
      <c r="AG43" s="1558">
        <v>0</v>
      </c>
    </row>
    <row r="44" spans="1:33"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554</v>
      </c>
      <c r="H44" s="494"/>
      <c r="I44" s="494"/>
      <c r="J44" s="494"/>
      <c r="K44" s="226" t="str">
        <f>FHD_NOTE_P_8</f>
        <v/>
      </c>
      <c r="L44" s="1563" t="str">
        <f t="shared" si="0"/>
        <v>p</v>
      </c>
      <c r="AG44" s="1558">
        <v>11</v>
      </c>
    </row>
    <row r="45" spans="1:33" ht="11.45" customHeight="1">
      <c r="D45" s="1565"/>
      <c r="E45" s="483" t="str">
        <f>FHD_NUM_P_9</f>
        <v>2.2.1</v>
      </c>
      <c r="F45" s="1577" t="str">
        <f>FHD_P_9</f>
        <v>Средневзвешенная стоимость 1 кВт.ч (с учетом мощности)</v>
      </c>
      <c r="G45" s="1804" t="s">
        <v>573</v>
      </c>
      <c r="H45" s="494"/>
      <c r="I45" s="494"/>
      <c r="J45" s="494"/>
      <c r="K45" s="226" t="str">
        <f>FHD_NOTE_P_9</f>
        <v/>
      </c>
      <c r="L45" s="1563" t="str">
        <f t="shared" si="0"/>
        <v/>
      </c>
      <c r="AG45" s="1558">
        <v>11</v>
      </c>
    </row>
    <row r="46" spans="1:33" s="1293" customFormat="1" ht="11.45" customHeight="1">
      <c r="A46" s="917"/>
      <c r="C46" s="1563"/>
      <c r="D46" s="511"/>
      <c r="E46" s="483" t="str">
        <f>FHD_NUM_P_10</f>
        <v>2.2.2</v>
      </c>
      <c r="F46" s="1577" t="str">
        <f>FHD_P_10</f>
        <v>Объём приобретения электрической энергии</v>
      </c>
      <c r="G46" s="1804" t="s">
        <v>574</v>
      </c>
      <c r="H46" s="494"/>
      <c r="I46" s="494"/>
      <c r="J46" s="494"/>
      <c r="K46" s="226" t="str">
        <f>FHD_NOTE_P_10</f>
        <v/>
      </c>
      <c r="L46" s="1563" t="str">
        <f t="shared" si="0"/>
        <v/>
      </c>
      <c r="M46" s="1563"/>
      <c r="N46" s="1563"/>
      <c r="S46" s="1563"/>
      <c r="V46" s="481"/>
      <c r="AB46" s="1559"/>
      <c r="AC46" s="1559"/>
      <c r="AD46" s="1559"/>
      <c r="AE46" s="1559"/>
      <c r="AF46" s="1559"/>
      <c r="AG46" s="1087">
        <v>11</v>
      </c>
    </row>
    <row r="47" spans="1:33" s="1293" customFormat="1" ht="11.25" hidden="1" customHeight="1">
      <c r="A47" s="919" t="s">
        <v>575</v>
      </c>
      <c r="C47" s="1563"/>
      <c r="D47" s="512"/>
      <c r="E47" s="483" t="str">
        <f>FHD_NUM_P_11</f>
        <v/>
      </c>
      <c r="F47" s="1451" t="str">
        <f>FHD_P_11</f>
        <v/>
      </c>
      <c r="G47" s="1804" t="s">
        <v>554</v>
      </c>
      <c r="H47" s="494"/>
      <c r="I47" s="494"/>
      <c r="J47" s="494"/>
      <c r="K47" s="226" t="str">
        <f>FHD_NOTE_P_11</f>
        <v/>
      </c>
      <c r="L47" s="1563" t="str">
        <f t="shared" si="0"/>
        <v/>
      </c>
      <c r="M47" s="1563"/>
      <c r="N47" s="1563"/>
      <c r="S47" s="1563"/>
      <c r="V47" s="481"/>
      <c r="AB47" s="1559"/>
      <c r="AC47" s="1559"/>
      <c r="AD47" s="1559"/>
      <c r="AE47" s="1559"/>
      <c r="AF47" s="1559"/>
      <c r="AG47" s="1087">
        <v>0</v>
      </c>
    </row>
    <row r="48" spans="1:33" s="1293" customFormat="1" ht="18.75" customHeight="1">
      <c r="A48" s="919" t="s">
        <v>576</v>
      </c>
      <c r="C48" s="1563"/>
      <c r="D48" s="1565"/>
      <c r="E48" s="483" t="str">
        <f>FHD_NUM_P_12</f>
        <v>2.3</v>
      </c>
      <c r="F48" s="1451" t="str">
        <f>FHD_P_12</f>
        <v>Расходы на химические реагенты, используемые в технологическом процессе</v>
      </c>
      <c r="G48" s="1804" t="s">
        <v>554</v>
      </c>
      <c r="H48" s="514"/>
      <c r="I48" s="514"/>
      <c r="J48" s="514"/>
      <c r="K48" s="226" t="str">
        <f>FHD_NOTE_P_12</f>
        <v/>
      </c>
      <c r="L48" s="1563" t="str">
        <f t="shared" si="0"/>
        <v>p</v>
      </c>
      <c r="M48" s="1563"/>
      <c r="N48" s="1563"/>
      <c r="S48" s="1563"/>
      <c r="V48" s="481"/>
      <c r="AB48" s="1559"/>
      <c r="AC48" s="1559"/>
      <c r="AD48" s="1559"/>
      <c r="AE48" s="1559"/>
      <c r="AF48" s="1559"/>
      <c r="AG48" s="1087">
        <v>18</v>
      </c>
    </row>
    <row r="49" spans="1:33"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554</v>
      </c>
      <c r="H49" s="494"/>
      <c r="I49" s="494"/>
      <c r="J49" s="494"/>
      <c r="K49" s="226" t="str">
        <f>FHD_NOTE_P_13</f>
        <v>Указывается общая сумма расходов на оплату труда и отчислений на социальные нужды основного производственного персонала.</v>
      </c>
      <c r="L49" s="1563" t="str">
        <f t="shared" si="0"/>
        <v>p</v>
      </c>
      <c r="M49" s="667"/>
      <c r="N49" s="667"/>
      <c r="S49" s="667"/>
      <c r="V49" s="668"/>
      <c r="AB49" s="669"/>
      <c r="AC49" s="669"/>
      <c r="AD49" s="669"/>
      <c r="AE49" s="669"/>
      <c r="AF49" s="669"/>
      <c r="AG49" s="666">
        <v>11</v>
      </c>
    </row>
    <row r="50" spans="1:33"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554</v>
      </c>
      <c r="H50" s="494"/>
      <c r="I50" s="494"/>
      <c r="J50" s="494"/>
      <c r="K50" s="226" t="str">
        <f>FHD_NOTE_P_14</f>
        <v/>
      </c>
      <c r="L50" s="1563" t="str">
        <f t="shared" si="0"/>
        <v/>
      </c>
      <c r="M50" s="667"/>
      <c r="N50" s="667"/>
      <c r="S50" s="667"/>
      <c r="V50" s="668"/>
      <c r="AB50" s="669"/>
      <c r="AC50" s="669"/>
      <c r="AD50" s="669"/>
      <c r="AE50" s="669"/>
      <c r="AF50" s="669"/>
      <c r="AG50" s="666">
        <v>11</v>
      </c>
    </row>
    <row r="51" spans="1:33"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554</v>
      </c>
      <c r="H51" s="494"/>
      <c r="I51" s="494"/>
      <c r="J51" s="494"/>
      <c r="K51" s="226" t="str">
        <f>FHD_NOTE_P_15</f>
        <v/>
      </c>
      <c r="L51" s="1563" t="str">
        <f t="shared" si="0"/>
        <v/>
      </c>
      <c r="M51" s="667"/>
      <c r="N51" s="667"/>
      <c r="S51" s="667"/>
      <c r="V51" s="668"/>
      <c r="AB51" s="669"/>
      <c r="AC51" s="669"/>
      <c r="AD51" s="669"/>
      <c r="AE51" s="669"/>
      <c r="AF51" s="669"/>
      <c r="AG51" s="666">
        <v>11</v>
      </c>
    </row>
    <row r="52" spans="1:33"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554</v>
      </c>
      <c r="H52" s="494"/>
      <c r="I52" s="494"/>
      <c r="J52" s="494"/>
      <c r="K52" s="226" t="str">
        <f>FHD_NOTE_P_16</f>
        <v>Указывается общая сумма расходов на оплату труда и отчислений на социальные нужды административно-управленческого персонала.</v>
      </c>
      <c r="L52" s="1563" t="str">
        <f t="shared" si="0"/>
        <v>p</v>
      </c>
      <c r="M52" s="1563"/>
      <c r="N52" s="1569"/>
      <c r="O52" s="474"/>
      <c r="P52" s="474"/>
      <c r="S52" s="1563"/>
      <c r="V52" s="481"/>
      <c r="AB52" s="1559"/>
      <c r="AC52" s="1559"/>
      <c r="AD52" s="1559"/>
      <c r="AE52" s="1559"/>
      <c r="AF52" s="1559"/>
      <c r="AG52" s="1087">
        <v>11</v>
      </c>
    </row>
    <row r="53" spans="1:33"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4" t="s">
        <v>554</v>
      </c>
      <c r="H53" s="494"/>
      <c r="I53" s="494"/>
      <c r="J53" s="494"/>
      <c r="K53" s="226" t="str">
        <f>FHD_NOTE_P_17</f>
        <v/>
      </c>
      <c r="L53" s="1563" t="str">
        <f t="shared" si="0"/>
        <v/>
      </c>
      <c r="M53" s="1563"/>
      <c r="N53" s="1569"/>
      <c r="O53" s="474"/>
      <c r="P53" s="474"/>
      <c r="S53" s="1563"/>
      <c r="V53" s="481"/>
      <c r="AB53" s="1559"/>
      <c r="AC53" s="1559"/>
      <c r="AD53" s="1559"/>
      <c r="AE53" s="1559"/>
      <c r="AF53" s="1559"/>
      <c r="AG53" s="1087">
        <v>11</v>
      </c>
    </row>
    <row r="54" spans="1:33"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554</v>
      </c>
      <c r="H54" s="494"/>
      <c r="I54" s="494"/>
      <c r="J54" s="494"/>
      <c r="K54" s="226" t="str">
        <f>FHD_NOTE_P_18</f>
        <v/>
      </c>
      <c r="L54" s="1563" t="str">
        <f t="shared" si="0"/>
        <v/>
      </c>
      <c r="M54" s="1563"/>
      <c r="N54" s="1569"/>
      <c r="O54" s="474"/>
      <c r="P54" s="474"/>
      <c r="S54" s="1563"/>
      <c r="V54" s="481"/>
      <c r="AB54" s="1559"/>
      <c r="AC54" s="1559"/>
      <c r="AD54" s="1559"/>
      <c r="AE54" s="1559"/>
      <c r="AF54" s="1559"/>
      <c r="AG54" s="1087">
        <v>11</v>
      </c>
    </row>
    <row r="55" spans="1:33"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554</v>
      </c>
      <c r="H55" s="494"/>
      <c r="I55" s="494"/>
      <c r="J55" s="494"/>
      <c r="K55" s="226" t="str">
        <f>FHD_NOTE_P_19</f>
        <v/>
      </c>
      <c r="L55" s="1563" t="str">
        <f t="shared" si="0"/>
        <v>p</v>
      </c>
      <c r="M55" s="1563"/>
      <c r="N55" s="1563"/>
      <c r="S55" s="1563"/>
      <c r="V55" s="481"/>
      <c r="AB55" s="1559"/>
      <c r="AC55" s="1559"/>
      <c r="AD55" s="1559"/>
      <c r="AE55" s="1559"/>
      <c r="AF55" s="1559"/>
      <c r="AG55" s="1087">
        <v>11</v>
      </c>
    </row>
    <row r="56" spans="1:33" s="1293" customFormat="1" ht="11.45" customHeight="1">
      <c r="A56" s="917"/>
      <c r="C56" s="1563"/>
      <c r="D56" s="512"/>
      <c r="E56" s="483" t="str">
        <f>FHD_NUM_P_20</f>
        <v>2.6.1</v>
      </c>
      <c r="F56" s="1577" t="str">
        <f>FHD_P_20</f>
        <v>Расходы на амортизацию основных средств</v>
      </c>
      <c r="G56" s="1804" t="s">
        <v>554</v>
      </c>
      <c r="H56" s="494"/>
      <c r="I56" s="494"/>
      <c r="J56" s="494"/>
      <c r="K56" s="226" t="str">
        <f>FHD_NOTE_P_20</f>
        <v/>
      </c>
      <c r="L56" s="1563" t="str">
        <f t="shared" si="0"/>
        <v/>
      </c>
      <c r="M56" s="1563"/>
      <c r="N56" s="1563"/>
      <c r="S56" s="1563"/>
      <c r="V56" s="481"/>
      <c r="AB56" s="1559"/>
      <c r="AC56" s="1559"/>
      <c r="AD56" s="1559"/>
      <c r="AE56" s="1559"/>
      <c r="AF56" s="1559"/>
      <c r="AG56" s="1087">
        <v>11</v>
      </c>
    </row>
    <row r="57" spans="1:33" s="1293" customFormat="1" ht="11.45" customHeight="1">
      <c r="A57" s="917"/>
      <c r="C57" s="1563"/>
      <c r="D57" s="512"/>
      <c r="E57" s="483" t="str">
        <f>FHD_NUM_P_21</f>
        <v>2.6.2</v>
      </c>
      <c r="F57" s="1577" t="str">
        <f>FHD_P_21</f>
        <v>Расходы на амортизацию нематериальных активов</v>
      </c>
      <c r="G57" s="1804" t="s">
        <v>554</v>
      </c>
      <c r="H57" s="494"/>
      <c r="I57" s="494"/>
      <c r="J57" s="494"/>
      <c r="K57" s="226" t="str">
        <f>FHD_NOTE_P_21</f>
        <v/>
      </c>
      <c r="L57" s="1563" t="str">
        <f t="shared" si="0"/>
        <v/>
      </c>
      <c r="M57" s="1563"/>
      <c r="N57" s="1563"/>
      <c r="S57" s="1563"/>
      <c r="V57" s="481"/>
      <c r="AB57" s="1559"/>
      <c r="AC57" s="1559"/>
      <c r="AD57" s="1559"/>
      <c r="AE57" s="1559"/>
      <c r="AF57" s="1559"/>
      <c r="AG57" s="1087">
        <v>11</v>
      </c>
    </row>
    <row r="58" spans="1:33"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554</v>
      </c>
      <c r="H58" s="494"/>
      <c r="I58" s="494"/>
      <c r="J58" s="494"/>
      <c r="K58" s="226" t="str">
        <f>FHD_NOTE_P_22</f>
        <v/>
      </c>
      <c r="L58" s="1563" t="str">
        <f t="shared" si="0"/>
        <v>p</v>
      </c>
      <c r="M58" s="1563"/>
      <c r="N58" s="1563"/>
      <c r="S58" s="1563"/>
      <c r="V58" s="481"/>
      <c r="AB58" s="1559"/>
      <c r="AC58" s="1559"/>
      <c r="AD58" s="1559"/>
      <c r="AE58" s="1559"/>
      <c r="AF58" s="1559"/>
      <c r="AG58" s="1087">
        <v>11</v>
      </c>
    </row>
    <row r="59" spans="1:33" s="1293" customFormat="1" ht="11.45" customHeight="1">
      <c r="A59" s="917"/>
      <c r="C59" s="1563"/>
      <c r="D59" s="512"/>
      <c r="E59" s="483" t="str">
        <f>FHD_NUM_P_23</f>
        <v>2.8</v>
      </c>
      <c r="F59" s="1451" t="str">
        <f>FHD_P_23</f>
        <v>Общепроизводственные расходы, в том числе:</v>
      </c>
      <c r="G59" s="1804" t="s">
        <v>554</v>
      </c>
      <c r="H59" s="494"/>
      <c r="I59" s="494"/>
      <c r="J59" s="494"/>
      <c r="K59" s="226" t="str">
        <f>FHD_NOTE_P_23</f>
        <v>Указывается общая сумма общепроизводственных расходов.</v>
      </c>
      <c r="L59" s="1563" t="str">
        <f t="shared" si="0"/>
        <v>p</v>
      </c>
      <c r="M59" s="1563"/>
      <c r="N59" s="1563"/>
      <c r="S59" s="1563"/>
      <c r="V59" s="481"/>
      <c r="AB59" s="1559"/>
      <c r="AC59" s="1559"/>
      <c r="AD59" s="1559"/>
      <c r="AE59" s="1559"/>
      <c r="AF59" s="1559"/>
      <c r="AG59" s="1087">
        <v>11</v>
      </c>
    </row>
    <row r="60" spans="1:33" s="1293" customFormat="1" ht="11.45" customHeight="1">
      <c r="A60" s="917"/>
      <c r="C60" s="1563"/>
      <c r="D60" s="512"/>
      <c r="E60" s="483" t="str">
        <f>FHD_NUM_P_24</f>
        <v>2.8.1</v>
      </c>
      <c r="F60" s="1577" t="str">
        <f>FHD_P_24</f>
        <v>Расходы на текущий ремонт</v>
      </c>
      <c r="G60" s="1804" t="s">
        <v>554</v>
      </c>
      <c r="H60" s="494"/>
      <c r="I60" s="494"/>
      <c r="J60" s="494"/>
      <c r="K60" s="226" t="str">
        <f>FHD_NOTE_P_24</f>
        <v>Указываются расходы на текущий ремонт, отнесенные к общепроизводственным расходам.</v>
      </c>
      <c r="L60" s="1563" t="str">
        <f t="shared" si="0"/>
        <v/>
      </c>
      <c r="M60" s="1563"/>
      <c r="N60" s="1563"/>
      <c r="S60" s="1563"/>
      <c r="V60" s="481"/>
      <c r="AB60" s="1559"/>
      <c r="AC60" s="1559"/>
      <c r="AD60" s="1559"/>
      <c r="AE60" s="1559"/>
      <c r="AF60" s="1559"/>
      <c r="AG60" s="1087">
        <v>11</v>
      </c>
    </row>
    <row r="61" spans="1:33" s="1293" customFormat="1" ht="11.45" customHeight="1">
      <c r="A61" s="917"/>
      <c r="C61" s="1563"/>
      <c r="D61" s="512"/>
      <c r="E61" s="483" t="str">
        <f>FHD_NUM_P_25</f>
        <v>2.8.2</v>
      </c>
      <c r="F61" s="1577" t="str">
        <f>FHD_P_25</f>
        <v>Расходы на капитальный ремонт</v>
      </c>
      <c r="G61" s="1804" t="s">
        <v>554</v>
      </c>
      <c r="H61" s="494"/>
      <c r="I61" s="494"/>
      <c r="J61" s="494"/>
      <c r="K61" s="226" t="str">
        <f>FHD_NOTE_P_25</f>
        <v>Указываются расходы на капитальный ремонт, отнесенные к общепроизводственным расходам.</v>
      </c>
      <c r="L61" s="1563" t="str">
        <f t="shared" si="0"/>
        <v/>
      </c>
      <c r="M61" s="1563"/>
      <c r="N61" s="1563"/>
      <c r="S61" s="1563"/>
      <c r="V61" s="481"/>
      <c r="AB61" s="1559"/>
      <c r="AC61" s="1559"/>
      <c r="AD61" s="1559"/>
      <c r="AE61" s="1559"/>
      <c r="AF61" s="1559"/>
      <c r="AG61" s="1087">
        <v>11</v>
      </c>
    </row>
    <row r="62" spans="1:33" s="1293" customFormat="1" ht="11.45" customHeight="1">
      <c r="A62" s="917"/>
      <c r="C62" s="1563"/>
      <c r="D62" s="1565"/>
      <c r="E62" s="483" t="str">
        <f>FHD_NUM_P_26</f>
        <v>2.9</v>
      </c>
      <c r="F62" s="1451" t="str">
        <f>FHD_P_26</f>
        <v>Общехозяйственные расходы, в том числе:</v>
      </c>
      <c r="G62" s="1804" t="s">
        <v>554</v>
      </c>
      <c r="H62" s="494"/>
      <c r="I62" s="494"/>
      <c r="J62" s="494"/>
      <c r="K62" s="226" t="str">
        <f>FHD_NOTE_P_26</f>
        <v>Указывается общая сумма общехозяйственных расходов.</v>
      </c>
      <c r="L62" s="1563" t="str">
        <f t="shared" si="0"/>
        <v>p</v>
      </c>
      <c r="M62" s="1563"/>
      <c r="N62" s="1563"/>
      <c r="S62" s="1563"/>
      <c r="V62" s="481"/>
      <c r="AB62" s="1559"/>
      <c r="AC62" s="1559"/>
      <c r="AD62" s="1559"/>
      <c r="AE62" s="1559"/>
      <c r="AF62" s="1559"/>
      <c r="AG62" s="1087">
        <v>11</v>
      </c>
    </row>
    <row r="63" spans="1:33" s="1293" customFormat="1" ht="11.45" customHeight="1">
      <c r="A63" s="917"/>
      <c r="C63" s="1563"/>
      <c r="D63" s="1565"/>
      <c r="E63" s="483" t="str">
        <f>FHD_NUM_P_27</f>
        <v>2.9.1</v>
      </c>
      <c r="F63" s="1577" t="str">
        <f>FHD_P_27</f>
        <v>Расходы на текущий ремонт</v>
      </c>
      <c r="G63" s="1804" t="s">
        <v>554</v>
      </c>
      <c r="H63" s="494"/>
      <c r="I63" s="494"/>
      <c r="J63" s="494"/>
      <c r="K63" s="226" t="str">
        <f>FHD_NOTE_P_27</f>
        <v>Указываются расходы на текущий ремонт, отнесенные к общехозяйственным расходам.</v>
      </c>
      <c r="L63" s="1563" t="str">
        <f t="shared" si="0"/>
        <v/>
      </c>
      <c r="M63" s="1563"/>
      <c r="N63" s="1563"/>
      <c r="S63" s="1563"/>
      <c r="V63" s="481"/>
      <c r="AB63" s="1559"/>
      <c r="AC63" s="1559"/>
      <c r="AD63" s="1559"/>
      <c r="AE63" s="1559"/>
      <c r="AF63" s="1559"/>
      <c r="AG63" s="1087">
        <v>11</v>
      </c>
    </row>
    <row r="64" spans="1:33" s="1293" customFormat="1" ht="11.45" customHeight="1">
      <c r="A64" s="917"/>
      <c r="C64" s="1563"/>
      <c r="D64" s="1565"/>
      <c r="E64" s="483" t="str">
        <f>FHD_NUM_P_28</f>
        <v>2.9.2</v>
      </c>
      <c r="F64" s="1577" t="str">
        <f>FHD_P_28</f>
        <v>Расходы на капитальный ремонт</v>
      </c>
      <c r="G64" s="1804" t="s">
        <v>554</v>
      </c>
      <c r="H64" s="494"/>
      <c r="I64" s="494"/>
      <c r="J64" s="494"/>
      <c r="K64" s="226" t="str">
        <f>FHD_NOTE_P_28</f>
        <v>Указываются расходы на капитальный ремонт, отнесенные к общехозяйственным расходам.</v>
      </c>
      <c r="L64" s="1563" t="str">
        <f t="shared" si="0"/>
        <v/>
      </c>
      <c r="M64" s="1563"/>
      <c r="N64" s="1563"/>
      <c r="S64" s="1563"/>
      <c r="V64" s="481"/>
      <c r="AB64" s="1559"/>
      <c r="AC64" s="1559"/>
      <c r="AD64" s="1559"/>
      <c r="AE64" s="1559"/>
      <c r="AF64" s="1559"/>
      <c r="AG64" s="1087">
        <v>11</v>
      </c>
    </row>
    <row r="65" spans="1:33" s="1293" customFormat="1" ht="11.45" customHeight="1">
      <c r="A65" s="917"/>
      <c r="C65" s="1563"/>
      <c r="D65" s="1565"/>
      <c r="E65" s="483" t="str">
        <f>FHD_NUM_P_29</f>
        <v>2.10</v>
      </c>
      <c r="F65" s="1451" t="str">
        <f>FHD_P_29</f>
        <v>Расходы на капитальный и текущий ремонт основных средств</v>
      </c>
      <c r="G65" s="1804" t="s">
        <v>554</v>
      </c>
      <c r="H65" s="494"/>
      <c r="I65" s="494"/>
      <c r="J65" s="494"/>
      <c r="K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3" t="str">
        <f t="shared" si="0"/>
        <v>p</v>
      </c>
      <c r="M65" s="1563"/>
      <c r="N65" s="1563"/>
      <c r="S65" s="1563"/>
      <c r="V65" s="481"/>
      <c r="AB65" s="1559"/>
      <c r="AC65" s="1559"/>
      <c r="AD65" s="1559"/>
      <c r="AE65" s="1559"/>
      <c r="AF65" s="1559"/>
      <c r="AG65" s="1087">
        <v>11</v>
      </c>
    </row>
    <row r="66" spans="1:33"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308</v>
      </c>
      <c r="H66" s="1576" t="s">
        <v>577</v>
      </c>
      <c r="I66" s="1576" t="s">
        <v>577</v>
      </c>
      <c r="J66" s="2019" t="s">
        <v>577</v>
      </c>
      <c r="K66" s="226" t="str">
        <f>FHD_NOTE_P_30</f>
        <v/>
      </c>
      <c r="L66" s="1563" t="str">
        <f t="shared" si="0"/>
        <v/>
      </c>
      <c r="M66" s="1563">
        <f>IFERROR(MATCH("есть",B_FHD_FLAG_INDEX_1,0),0)</f>
        <v>0</v>
      </c>
      <c r="N66" s="1563"/>
      <c r="S66" s="1563"/>
      <c r="V66" s="481"/>
      <c r="AB66" s="1559"/>
      <c r="AC66" s="1559"/>
      <c r="AD66" s="1559"/>
      <c r="AE66" s="1559"/>
      <c r="AF66" s="1559"/>
      <c r="AG66" s="1087">
        <v>11</v>
      </c>
    </row>
    <row r="67" spans="1:33" s="1293" customFormat="1" ht="23.25" customHeight="1">
      <c r="A67" s="2304" t="s">
        <v>578</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554</v>
      </c>
      <c r="H67" s="494"/>
      <c r="I67" s="494"/>
      <c r="J67" s="494"/>
      <c r="K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7" s="1563" t="str">
        <f t="shared" si="0"/>
        <v>p</v>
      </c>
      <c r="M67" s="1563"/>
      <c r="N67" s="1563"/>
      <c r="S67" s="1563"/>
      <c r="V67" s="481"/>
      <c r="AB67" s="1559"/>
      <c r="AC67" s="1559"/>
      <c r="AD67" s="1559"/>
      <c r="AE67" s="1559"/>
      <c r="AF67" s="1559"/>
      <c r="AG67" s="1087">
        <v>22</v>
      </c>
    </row>
    <row r="68" spans="1:33" s="1293" customFormat="1" ht="47.25" customHeight="1">
      <c r="A68" s="2304"/>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308</v>
      </c>
      <c r="H68" s="1576" t="s">
        <v>577</v>
      </c>
      <c r="I68" s="1576" t="s">
        <v>577</v>
      </c>
      <c r="J68" s="2019" t="s">
        <v>577</v>
      </c>
      <c r="K68" s="226" t="str">
        <f>FHD_NOTE_P_32</f>
        <v/>
      </c>
      <c r="L68" s="1563" t="str">
        <f t="shared" si="0"/>
        <v/>
      </c>
      <c r="M68" s="1563">
        <f>IFERROR(MATCH("есть",B_FHD_FLAG_INDEX_2,0),0)</f>
        <v>0</v>
      </c>
      <c r="N68" s="1563"/>
      <c r="S68" s="1563"/>
      <c r="V68" s="481"/>
      <c r="AB68" s="1559"/>
      <c r="AC68" s="1559"/>
      <c r="AD68" s="1559"/>
      <c r="AE68" s="1559"/>
      <c r="AF68" s="1559"/>
      <c r="AG68" s="1087">
        <v>45</v>
      </c>
    </row>
    <row r="69" spans="1:33"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554</v>
      </c>
      <c r="H69" s="516">
        <f>SUM(H70:H71)</f>
        <v>0</v>
      </c>
      <c r="I69" s="516">
        <f>SUM(I70:I71)</f>
        <v>0</v>
      </c>
      <c r="J69" s="516">
        <f>SUM(J70:J71)</f>
        <v>0</v>
      </c>
      <c r="K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69" s="1563" t="str">
        <f t="shared" si="0"/>
        <v>p</v>
      </c>
      <c r="M69" s="1563"/>
      <c r="N69" s="1563"/>
      <c r="S69" s="1563"/>
      <c r="V69" s="481"/>
      <c r="AB69" s="1559"/>
      <c r="AC69" s="1559"/>
      <c r="AD69" s="1559"/>
      <c r="AE69" s="1559"/>
      <c r="AF69" s="1559"/>
      <c r="AG69" s="1087">
        <v>11</v>
      </c>
    </row>
    <row r="70" spans="1:33" s="1569" customFormat="1" ht="1.1499999999999999" customHeight="1">
      <c r="A70" s="1094"/>
      <c r="D70" s="485"/>
      <c r="E70" s="943" t="str">
        <f>E69&amp;".0"</f>
        <v>2.12.0</v>
      </c>
      <c r="F70" s="921"/>
      <c r="G70" s="943"/>
      <c r="H70" s="922"/>
      <c r="I70" s="922"/>
      <c r="J70" s="922"/>
      <c r="K70" s="923"/>
      <c r="L70" s="1563" t="str">
        <f t="shared" si="0"/>
        <v/>
      </c>
      <c r="AG70" s="1563">
        <v>1</v>
      </c>
    </row>
    <row r="71" spans="1:33" s="1293" customFormat="1" ht="14.65" customHeight="1">
      <c r="A71" s="917"/>
      <c r="C71" s="1563"/>
      <c r="D71" s="1560"/>
      <c r="E71" s="507"/>
      <c r="F71" s="508" t="s">
        <v>579</v>
      </c>
      <c r="G71" s="509"/>
      <c r="H71" s="510"/>
      <c r="I71" s="510"/>
      <c r="J71" s="2038"/>
      <c r="K71" s="238"/>
      <c r="L71" s="1563"/>
      <c r="M71" s="1563"/>
      <c r="N71" s="1563"/>
      <c r="S71" s="1563"/>
      <c r="V71" s="481"/>
      <c r="AB71" s="1559"/>
      <c r="AC71" s="1559"/>
      <c r="AD71" s="1559"/>
      <c r="AE71" s="1559"/>
      <c r="AF71" s="1559"/>
      <c r="AG71" s="1087">
        <v>14</v>
      </c>
    </row>
    <row r="72" spans="1:33" s="1293" customFormat="1" ht="18.75" hidden="1" customHeight="1">
      <c r="A72" s="919" t="s">
        <v>580</v>
      </c>
      <c r="C72" s="1563"/>
      <c r="D72" s="1565"/>
      <c r="E72" s="483" t="str">
        <f>FHD_NUM_P_34</f>
        <v/>
      </c>
      <c r="F72" s="1806" t="str">
        <f>FHD_P_34</f>
        <v/>
      </c>
      <c r="G72" s="1804" t="s">
        <v>554</v>
      </c>
      <c r="H72" s="494"/>
      <c r="I72" s="494"/>
      <c r="J72" s="494"/>
      <c r="K72" s="226" t="str">
        <f>FHD_NOTE_P_34</f>
        <v/>
      </c>
      <c r="L72" s="480"/>
      <c r="M72" s="1563"/>
      <c r="N72" s="1563"/>
      <c r="S72" s="1563"/>
      <c r="V72" s="481"/>
      <c r="AB72" s="1559"/>
      <c r="AC72" s="1559"/>
      <c r="AD72" s="1559"/>
      <c r="AE72" s="1559"/>
      <c r="AF72" s="1559"/>
      <c r="AG72" s="1087">
        <v>0</v>
      </c>
    </row>
    <row r="73" spans="1:33"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554</v>
      </c>
      <c r="H73" s="494"/>
      <c r="I73" s="494"/>
      <c r="J73" s="494"/>
      <c r="K73" s="226" t="str">
        <f>FHD_NOTE_P_35</f>
        <v>Указывается общая сумма чистой прибыли, полученной от регулируемого вида деятельности.</v>
      </c>
      <c r="L73" s="480"/>
      <c r="M73" s="1563"/>
      <c r="N73" s="1563"/>
      <c r="S73" s="1563"/>
      <c r="V73" s="481"/>
      <c r="AB73" s="1559"/>
      <c r="AC73" s="1559"/>
      <c r="AD73" s="1559"/>
      <c r="AE73" s="1559"/>
      <c r="AF73" s="1559"/>
      <c r="AG73" s="1087">
        <v>19</v>
      </c>
    </row>
    <row r="74" spans="1:33"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554</v>
      </c>
      <c r="H74" s="494"/>
      <c r="I74" s="494"/>
      <c r="J74" s="494"/>
      <c r="K74" s="226" t="str">
        <f>FHD_NOTE_P_36</f>
        <v/>
      </c>
      <c r="L74" s="480"/>
      <c r="M74" s="1563"/>
      <c r="N74" s="1563"/>
      <c r="S74" s="1563"/>
      <c r="V74" s="481"/>
      <c r="AB74" s="1559"/>
      <c r="AC74" s="1559"/>
      <c r="AD74" s="1559"/>
      <c r="AE74" s="1559"/>
      <c r="AF74" s="1559"/>
      <c r="AG74" s="1087">
        <v>19</v>
      </c>
    </row>
    <row r="75" spans="1:33" s="1293" customFormat="1" ht="19.899999999999999" customHeight="1">
      <c r="A75" s="917"/>
      <c r="C75" s="1563"/>
      <c r="D75" s="1565"/>
      <c r="E75" s="483" t="str">
        <f>FHD_NUM_P_37</f>
        <v>4</v>
      </c>
      <c r="F75" s="1806" t="str">
        <f>FHD_P_37</f>
        <v>Изменение стоимости основных фондов, в том числе:</v>
      </c>
      <c r="G75" s="1804" t="s">
        <v>554</v>
      </c>
      <c r="H75" s="494"/>
      <c r="I75" s="494"/>
      <c r="J75" s="494"/>
      <c r="K75" s="226" t="str">
        <f>FHD_NOTE_P_37</f>
        <v>Указывается общее изменение стоимости основных фондов.</v>
      </c>
      <c r="L75" s="480"/>
      <c r="M75" s="1563"/>
      <c r="N75" s="1563"/>
      <c r="S75" s="1563"/>
      <c r="V75" s="481"/>
      <c r="AB75" s="1559"/>
      <c r="AC75" s="1559"/>
      <c r="AD75" s="1559"/>
      <c r="AE75" s="1559"/>
      <c r="AF75" s="1559"/>
      <c r="AG75" s="1087">
        <v>19</v>
      </c>
    </row>
    <row r="76" spans="1:33"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554</v>
      </c>
      <c r="H76" s="494"/>
      <c r="I76" s="494"/>
      <c r="J76" s="494"/>
      <c r="K76" s="226" t="str">
        <f>FHD_NOTE_P_38</f>
        <v>Указываются общее изменение стоимости основных фондов за счет их ввода в эксплуатацию и вывода из эксплуатации.</v>
      </c>
      <c r="L76" s="480"/>
      <c r="M76" s="1563"/>
      <c r="N76" s="1563"/>
      <c r="S76" s="1563"/>
      <c r="V76" s="481"/>
      <c r="AB76" s="1559"/>
      <c r="AC76" s="1559"/>
      <c r="AD76" s="1559"/>
      <c r="AE76" s="1559"/>
      <c r="AF76" s="1559"/>
      <c r="AG76" s="1087">
        <v>19</v>
      </c>
    </row>
    <row r="77" spans="1:33"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554</v>
      </c>
      <c r="H77" s="494"/>
      <c r="I77" s="494"/>
      <c r="J77" s="494"/>
      <c r="K77" s="226" t="str">
        <f>FHD_NOTE_P_39</f>
        <v>Указываются изменение стоимости основных фондов за счет их ввода в эксплуатацию.</v>
      </c>
      <c r="L77" s="480"/>
      <c r="M77" s="1563"/>
      <c r="N77" s="1563"/>
      <c r="S77" s="1563"/>
      <c r="V77" s="481"/>
      <c r="AB77" s="1559"/>
      <c r="AC77" s="1559"/>
      <c r="AD77" s="1559"/>
      <c r="AE77" s="1559"/>
      <c r="AF77" s="1559"/>
      <c r="AG77" s="1087">
        <v>19</v>
      </c>
    </row>
    <row r="78" spans="1:33"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554</v>
      </c>
      <c r="H78" s="906"/>
      <c r="I78" s="494"/>
      <c r="J78" s="906"/>
      <c r="K78" s="226" t="str">
        <f>FHD_NOTE_P_40</f>
        <v>Указываются изменение стоимости основных фондов за счет их вывода из эксплуатации.</v>
      </c>
      <c r="L78" s="480"/>
      <c r="M78" s="1563"/>
      <c r="N78" s="1563"/>
      <c r="S78" s="1563"/>
      <c r="V78" s="481"/>
      <c r="AB78" s="1559"/>
      <c r="AC78" s="1559"/>
      <c r="AD78" s="1559"/>
      <c r="AE78" s="1559"/>
      <c r="AF78" s="1559"/>
      <c r="AG78" s="1087">
        <v>19</v>
      </c>
    </row>
    <row r="79" spans="1:33"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554</v>
      </c>
      <c r="H79" s="906"/>
      <c r="I79" s="494"/>
      <c r="J79" s="906"/>
      <c r="K79" s="226" t="str">
        <f>FHD_NOTE_P_41</f>
        <v/>
      </c>
      <c r="L79" s="480"/>
      <c r="M79" s="1563"/>
      <c r="N79" s="1563"/>
      <c r="S79" s="1563"/>
      <c r="V79" s="481"/>
      <c r="AB79" s="1559"/>
      <c r="AC79" s="1559"/>
      <c r="AD79" s="1559"/>
      <c r="AE79" s="1559"/>
      <c r="AF79" s="1559"/>
      <c r="AG79" s="1087">
        <v>19</v>
      </c>
    </row>
    <row r="80" spans="1:33" s="1293" customFormat="1" ht="19.899999999999999" customHeight="1">
      <c r="A80" s="919" t="s">
        <v>581</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554</v>
      </c>
      <c r="H80" s="906"/>
      <c r="I80" s="494"/>
      <c r="J80" s="906"/>
      <c r="K80" s="226" t="str">
        <f>FHD_NOTE_P_42</f>
        <v/>
      </c>
      <c r="L80" s="480"/>
      <c r="M80" s="1563"/>
      <c r="N80" s="1563"/>
      <c r="S80" s="1563"/>
      <c r="V80" s="481"/>
      <c r="AB80" s="1559"/>
      <c r="AC80" s="1559"/>
      <c r="AD80" s="1559"/>
      <c r="AE80" s="1559"/>
      <c r="AF80" s="1559"/>
      <c r="AG80" s="1087">
        <v>19</v>
      </c>
    </row>
    <row r="81" spans="1:33"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308</v>
      </c>
      <c r="H81" s="985"/>
      <c r="I81" s="749"/>
      <c r="J81" s="985"/>
      <c r="K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81" s="480"/>
      <c r="M81" s="1563"/>
      <c r="N81" s="1563"/>
      <c r="S81" s="1563"/>
      <c r="V81" s="481"/>
      <c r="AB81" s="1559"/>
      <c r="AC81" s="1559"/>
      <c r="AD81" s="1559"/>
      <c r="AE81" s="1559"/>
      <c r="AF81" s="1559"/>
      <c r="AG81" s="1087">
        <v>19</v>
      </c>
    </row>
    <row r="82" spans="1:33" s="1293" customFormat="1" ht="18.75" customHeight="1">
      <c r="A82" s="2304" t="s">
        <v>582</v>
      </c>
      <c r="C82" s="672"/>
      <c r="D82" s="670"/>
      <c r="E82" s="483" t="str">
        <f>FHD_NUM_P_44</f>
        <v>7</v>
      </c>
      <c r="F82" s="1806" t="str">
        <f>FHD_P_44</f>
        <v>Объём поднятой воды</v>
      </c>
      <c r="G82" s="1807" t="s">
        <v>583</v>
      </c>
      <c r="H82" s="907"/>
      <c r="I82" s="514"/>
      <c r="J82" s="907"/>
      <c r="K82" s="226" t="str">
        <f>FHD_NOTE_P_44</f>
        <v/>
      </c>
      <c r="L82" s="671"/>
      <c r="M82" s="672"/>
      <c r="N82" s="672"/>
      <c r="S82" s="672"/>
      <c r="V82" s="673"/>
      <c r="AB82" s="674"/>
      <c r="AC82" s="674"/>
      <c r="AD82" s="674"/>
      <c r="AE82" s="674"/>
      <c r="AF82" s="674"/>
      <c r="AG82" s="840">
        <v>0</v>
      </c>
    </row>
    <row r="83" spans="1:33" s="1293" customFormat="1" ht="18.75" customHeight="1">
      <c r="A83" s="2304"/>
      <c r="C83" s="672"/>
      <c r="D83" s="670"/>
      <c r="E83" s="483" t="str">
        <f>FHD_NUM_P_45</f>
        <v>8</v>
      </c>
      <c r="F83" s="1806" t="str">
        <f>FHD_P_45</f>
        <v>Объём покупной воды</v>
      </c>
      <c r="G83" s="1807" t="s">
        <v>583</v>
      </c>
      <c r="H83" s="907"/>
      <c r="I83" s="514"/>
      <c r="J83" s="907"/>
      <c r="K83" s="226" t="str">
        <f>FHD_NOTE_P_45</f>
        <v/>
      </c>
      <c r="L83" s="671"/>
      <c r="M83" s="672"/>
      <c r="N83" s="672"/>
      <c r="S83" s="672"/>
      <c r="V83" s="673"/>
      <c r="AB83" s="674"/>
      <c r="AC83" s="674"/>
      <c r="AD83" s="674"/>
      <c r="AE83" s="674"/>
      <c r="AF83" s="674"/>
      <c r="AG83" s="840">
        <v>0</v>
      </c>
    </row>
    <row r="84" spans="1:33" s="1293" customFormat="1" ht="18.75" customHeight="1">
      <c r="A84" s="2304"/>
      <c r="C84" s="672"/>
      <c r="D84" s="675"/>
      <c r="E84" s="483" t="str">
        <f>FHD_NUM_P_46</f>
        <v>9</v>
      </c>
      <c r="F84" s="1806" t="str">
        <f>FHD_P_46</f>
        <v>Объём воды, пропущенной через очистные сооружения</v>
      </c>
      <c r="G84" s="1807" t="s">
        <v>583</v>
      </c>
      <c r="H84" s="907"/>
      <c r="I84" s="514"/>
      <c r="J84" s="907"/>
      <c r="K84" s="226" t="str">
        <f>FHD_NOTE_P_46</f>
        <v/>
      </c>
      <c r="L84" s="671"/>
      <c r="M84" s="672"/>
      <c r="N84" s="672"/>
      <c r="S84" s="672"/>
      <c r="V84" s="673"/>
      <c r="AB84" s="674"/>
      <c r="AC84" s="674"/>
      <c r="AD84" s="674"/>
      <c r="AE84" s="674"/>
      <c r="AF84" s="674"/>
      <c r="AG84" s="840">
        <v>0</v>
      </c>
    </row>
    <row r="85" spans="1:33" s="1293" customFormat="1" ht="18.75" customHeight="1">
      <c r="A85" s="2304"/>
      <c r="C85" s="672"/>
      <c r="D85" s="670"/>
      <c r="E85" s="483" t="str">
        <f>FHD_NUM_P_47</f>
        <v>10</v>
      </c>
      <c r="F85" s="1806" t="str">
        <f>FHD_P_47</f>
        <v>Объём отпущенной потребителям воды, в том числе:</v>
      </c>
      <c r="G85" s="1807" t="s">
        <v>583</v>
      </c>
      <c r="H85" s="907"/>
      <c r="I85" s="514"/>
      <c r="J85" s="907"/>
      <c r="K85" s="226" t="str">
        <f>FHD_NOTE_P_47</f>
        <v>Указывается общий объем отпущенной потребителям воды.</v>
      </c>
      <c r="L85" s="671"/>
      <c r="M85" s="672"/>
      <c r="N85" s="672"/>
      <c r="S85" s="672"/>
      <c r="V85" s="673"/>
      <c r="AB85" s="674"/>
      <c r="AC85" s="674"/>
      <c r="AD85" s="674"/>
      <c r="AE85" s="674"/>
      <c r="AF85" s="674"/>
      <c r="AG85" s="840">
        <v>0</v>
      </c>
    </row>
    <row r="86" spans="1:33" s="1562" customFormat="1" ht="18.75" customHeight="1">
      <c r="A86" s="2304"/>
      <c r="B86" s="840"/>
      <c r="C86" s="672"/>
      <c r="D86" s="670"/>
      <c r="E86" s="483" t="str">
        <f>FHD_NUM_P_48</f>
        <v>10.1</v>
      </c>
      <c r="F86" s="1806" t="str">
        <f>FHD_P_48</f>
        <v>Объём отпущенной потребителям воды, определенный по приборам учета</v>
      </c>
      <c r="G86" s="1807" t="s">
        <v>583</v>
      </c>
      <c r="H86" s="907"/>
      <c r="I86" s="514"/>
      <c r="J86" s="907"/>
      <c r="K86" s="226" t="str">
        <f>FHD_NOTE_P_48</f>
        <v/>
      </c>
      <c r="L86" s="671"/>
      <c r="M86" s="672"/>
      <c r="N86" s="672"/>
      <c r="O86" s="840"/>
      <c r="P86" s="840"/>
      <c r="Q86" s="840"/>
      <c r="R86" s="840"/>
      <c r="S86" s="672"/>
      <c r="T86" s="840"/>
      <c r="U86" s="840"/>
      <c r="V86" s="673"/>
      <c r="W86" s="840"/>
      <c r="X86" s="840"/>
      <c r="Y86" s="840"/>
      <c r="Z86" s="840"/>
      <c r="AA86" s="840"/>
      <c r="AB86" s="674"/>
      <c r="AC86" s="674"/>
      <c r="AD86" s="674"/>
      <c r="AE86" s="674"/>
      <c r="AF86" s="674"/>
      <c r="AG86" s="676">
        <v>0</v>
      </c>
    </row>
    <row r="87" spans="1:33" s="1562" customFormat="1" ht="18.75" customHeight="1">
      <c r="A87" s="2304"/>
      <c r="B87" s="840"/>
      <c r="C87" s="672"/>
      <c r="D87" s="670"/>
      <c r="E87" s="483" t="str">
        <f>FHD_NUM_P_49</f>
        <v>10.2</v>
      </c>
      <c r="F87" s="1806" t="str">
        <f>FHD_P_49</f>
        <v>Объём отпущенной потребителям воды, определенный расчетным способом</v>
      </c>
      <c r="G87" s="1807" t="s">
        <v>583</v>
      </c>
      <c r="H87" s="908">
        <f>SUM(H88:H89)</f>
        <v>0</v>
      </c>
      <c r="I87" s="686">
        <f>SUM(I88:I89)</f>
        <v>0</v>
      </c>
      <c r="J87" s="908">
        <f>SUM(J88:J89)</f>
        <v>0</v>
      </c>
      <c r="K87" s="226" t="str">
        <f>FHD_NOTE_P_49</f>
        <v/>
      </c>
      <c r="L87" s="671"/>
      <c r="M87" s="672"/>
      <c r="N87" s="672"/>
      <c r="O87" s="840"/>
      <c r="P87" s="840"/>
      <c r="Q87" s="840"/>
      <c r="R87" s="840"/>
      <c r="S87" s="672"/>
      <c r="T87" s="840"/>
      <c r="U87" s="840"/>
      <c r="V87" s="673"/>
      <c r="W87" s="840"/>
      <c r="X87" s="840"/>
      <c r="Y87" s="840"/>
      <c r="Z87" s="840"/>
      <c r="AA87" s="840"/>
      <c r="AB87" s="674"/>
      <c r="AC87" s="674"/>
      <c r="AD87" s="674"/>
      <c r="AE87" s="674"/>
      <c r="AF87" s="674"/>
      <c r="AG87" s="676">
        <v>0</v>
      </c>
    </row>
    <row r="88" spans="1:33" s="1562" customFormat="1" ht="18.75" customHeight="1">
      <c r="A88" s="2304"/>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583</v>
      </c>
      <c r="H88" s="907"/>
      <c r="I88" s="514"/>
      <c r="J88" s="907"/>
      <c r="K88" s="226" t="str">
        <f>FHD_NOTE_P_50</f>
        <v/>
      </c>
      <c r="L88" s="671"/>
      <c r="M88" s="672"/>
      <c r="N88" s="672"/>
      <c r="O88" s="840"/>
      <c r="P88" s="840"/>
      <c r="Q88" s="840"/>
      <c r="R88" s="840"/>
      <c r="S88" s="672"/>
      <c r="T88" s="840"/>
      <c r="U88" s="840"/>
      <c r="V88" s="673"/>
      <c r="W88" s="840"/>
      <c r="X88" s="840"/>
      <c r="Y88" s="840"/>
      <c r="Z88" s="840"/>
      <c r="AA88" s="840"/>
      <c r="AB88" s="674"/>
      <c r="AC88" s="674"/>
      <c r="AD88" s="674"/>
      <c r="AE88" s="674"/>
      <c r="AF88" s="674"/>
      <c r="AG88" s="676">
        <v>0</v>
      </c>
    </row>
    <row r="89" spans="1:33" s="1562" customFormat="1" ht="18.75" customHeight="1">
      <c r="A89" s="2304"/>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583</v>
      </c>
      <c r="H89" s="907"/>
      <c r="I89" s="514"/>
      <c r="J89" s="907"/>
      <c r="K89" s="226" t="str">
        <f>FHD_NOTE_P_51</f>
        <v/>
      </c>
      <c r="L89" s="671"/>
      <c r="M89" s="672"/>
      <c r="N89" s="672"/>
      <c r="O89" s="840"/>
      <c r="P89" s="840"/>
      <c r="Q89" s="840"/>
      <c r="R89" s="840"/>
      <c r="S89" s="672"/>
      <c r="T89" s="840"/>
      <c r="U89" s="840"/>
      <c r="V89" s="673"/>
      <c r="W89" s="840"/>
      <c r="X89" s="840"/>
      <c r="Y89" s="840"/>
      <c r="Z89" s="840"/>
      <c r="AA89" s="840"/>
      <c r="AB89" s="674"/>
      <c r="AC89" s="674"/>
      <c r="AD89" s="674"/>
      <c r="AE89" s="674"/>
      <c r="AF89" s="674"/>
      <c r="AG89" s="676">
        <v>0</v>
      </c>
    </row>
    <row r="90" spans="1:33" s="1562" customFormat="1" ht="18.75" customHeight="1">
      <c r="A90" s="2304"/>
      <c r="B90" s="840"/>
      <c r="C90" s="672"/>
      <c r="D90" s="670"/>
      <c r="E90" s="483" t="str">
        <f>FHD_NUM_P_52</f>
        <v>11</v>
      </c>
      <c r="F90" s="1806" t="str">
        <f>FHD_P_52</f>
        <v>Потери воды в сетях</v>
      </c>
      <c r="G90" s="1807" t="s">
        <v>560</v>
      </c>
      <c r="H90" s="906"/>
      <c r="I90" s="494"/>
      <c r="J90" s="906"/>
      <c r="K90" s="226" t="str">
        <f>FHD_NOTE_P_52</f>
        <v/>
      </c>
      <c r="L90" s="671"/>
      <c r="M90" s="672"/>
      <c r="N90" s="672"/>
      <c r="O90" s="840"/>
      <c r="P90" s="840"/>
      <c r="Q90" s="840"/>
      <c r="R90" s="840"/>
      <c r="S90" s="672"/>
      <c r="T90" s="840"/>
      <c r="U90" s="840"/>
      <c r="V90" s="673"/>
      <c r="W90" s="840"/>
      <c r="X90" s="840"/>
      <c r="Y90" s="840"/>
      <c r="Z90" s="840"/>
      <c r="AA90" s="840"/>
      <c r="AB90" s="674"/>
      <c r="AC90" s="674"/>
      <c r="AD90" s="674"/>
      <c r="AE90" s="674"/>
      <c r="AF90" s="674"/>
      <c r="AG90" s="676">
        <v>0</v>
      </c>
    </row>
    <row r="91" spans="1:33" s="1293" customFormat="1" ht="18.75" hidden="1" customHeight="1">
      <c r="A91" s="2304" t="s">
        <v>584</v>
      </c>
      <c r="C91" s="672"/>
      <c r="D91" s="670"/>
      <c r="E91" s="483" t="str">
        <f>FHD_NUM_P_53</f>
        <v/>
      </c>
      <c r="F91" s="1806" t="str">
        <f>FHD_P_53</f>
        <v/>
      </c>
      <c r="G91" s="1807" t="s">
        <v>583</v>
      </c>
      <c r="H91" s="907"/>
      <c r="I91" s="514"/>
      <c r="J91" s="907"/>
      <c r="K91" s="226" t="str">
        <f>FHD_NOTE_P_53</f>
        <v/>
      </c>
      <c r="L91" s="671"/>
      <c r="M91" s="672"/>
      <c r="N91" s="672"/>
      <c r="S91" s="672"/>
      <c r="V91" s="673"/>
      <c r="AB91" s="674"/>
      <c r="AC91" s="674"/>
      <c r="AD91" s="674"/>
      <c r="AE91" s="674"/>
      <c r="AF91" s="674"/>
      <c r="AG91" s="840">
        <v>0</v>
      </c>
    </row>
    <row r="92" spans="1:33" s="1293" customFormat="1" ht="18.75" hidden="1" customHeight="1">
      <c r="A92" s="2304"/>
      <c r="C92" s="672"/>
      <c r="D92" s="670"/>
      <c r="E92" s="483" t="str">
        <f>FHD_NUM_P_54</f>
        <v/>
      </c>
      <c r="F92" s="1806" t="str">
        <f>FHD_P_54</f>
        <v/>
      </c>
      <c r="G92" s="1807" t="s">
        <v>583</v>
      </c>
      <c r="H92" s="907"/>
      <c r="I92" s="514"/>
      <c r="J92" s="907"/>
      <c r="K92" s="226" t="str">
        <f>FHD_NOTE_P_54</f>
        <v/>
      </c>
      <c r="L92" s="671"/>
      <c r="M92" s="672"/>
      <c r="N92" s="672"/>
      <c r="S92" s="672"/>
      <c r="V92" s="673"/>
      <c r="AB92" s="674"/>
      <c r="AC92" s="674"/>
      <c r="AD92" s="674"/>
      <c r="AE92" s="674"/>
      <c r="AF92" s="674"/>
      <c r="AG92" s="840">
        <v>0</v>
      </c>
    </row>
    <row r="93" spans="1:33" s="1293" customFormat="1" ht="18.75" hidden="1" customHeight="1">
      <c r="A93" s="2304"/>
      <c r="C93" s="672"/>
      <c r="D93" s="675"/>
      <c r="E93" s="483" t="str">
        <f>FHD_NUM_P_55</f>
        <v/>
      </c>
      <c r="F93" s="1806" t="str">
        <f>FHD_P_55</f>
        <v/>
      </c>
      <c r="G93" s="1810"/>
      <c r="H93" s="907"/>
      <c r="I93" s="514"/>
      <c r="J93" s="907"/>
      <c r="K93" s="226" t="str">
        <f>FHD_NOTE_P_55</f>
        <v/>
      </c>
      <c r="L93" s="671"/>
      <c r="M93" s="672"/>
      <c r="N93" s="672"/>
      <c r="S93" s="672"/>
      <c r="V93" s="673"/>
      <c r="AB93" s="674"/>
      <c r="AC93" s="674"/>
      <c r="AD93" s="674"/>
      <c r="AE93" s="674"/>
      <c r="AF93" s="674"/>
      <c r="AG93" s="840">
        <v>0</v>
      </c>
    </row>
    <row r="94" spans="1:33" s="1293" customFormat="1" ht="18.75" hidden="1" customHeight="1">
      <c r="A94" s="2304"/>
      <c r="C94" s="672"/>
      <c r="D94" s="670"/>
      <c r="E94" s="483" t="str">
        <f>FHD_NUM_P_56</f>
        <v/>
      </c>
      <c r="F94" s="1806" t="str">
        <f>FHD_P_56</f>
        <v/>
      </c>
      <c r="G94" s="1807" t="s">
        <v>585</v>
      </c>
      <c r="H94" s="907"/>
      <c r="I94" s="514"/>
      <c r="J94" s="907"/>
      <c r="K94" s="226" t="str">
        <f>FHD_NOTE_P_56</f>
        <v/>
      </c>
      <c r="L94" s="671"/>
      <c r="M94" s="672"/>
      <c r="N94" s="672"/>
      <c r="S94" s="672"/>
      <c r="V94" s="673"/>
      <c r="AB94" s="674"/>
      <c r="AC94" s="674"/>
      <c r="AD94" s="674"/>
      <c r="AE94" s="674"/>
      <c r="AF94" s="674"/>
      <c r="AG94" s="840">
        <v>0</v>
      </c>
    </row>
    <row r="95" spans="1:33" s="1562" customFormat="1" ht="18.75" hidden="1" customHeight="1">
      <c r="A95" s="2304"/>
      <c r="B95" s="840"/>
      <c r="C95" s="672"/>
      <c r="D95" s="670"/>
      <c r="E95" s="483" t="str">
        <f>FHD_NUM_P_57</f>
        <v/>
      </c>
      <c r="F95" s="1806" t="str">
        <f>FHD_P_57</f>
        <v/>
      </c>
      <c r="G95" s="1807" t="s">
        <v>560</v>
      </c>
      <c r="H95" s="906"/>
      <c r="I95" s="494"/>
      <c r="J95" s="906"/>
      <c r="K95" s="226" t="str">
        <f>FHD_NOTE_P_57</f>
        <v/>
      </c>
      <c r="L95" s="671"/>
      <c r="M95" s="672"/>
      <c r="N95" s="672"/>
      <c r="O95" s="840"/>
      <c r="P95" s="840"/>
      <c r="Q95" s="840"/>
      <c r="R95" s="840"/>
      <c r="S95" s="672"/>
      <c r="T95" s="840"/>
      <c r="U95" s="840"/>
      <c r="V95" s="673"/>
      <c r="W95" s="840"/>
      <c r="X95" s="840"/>
      <c r="Y95" s="840"/>
      <c r="Z95" s="840"/>
      <c r="AA95" s="840"/>
      <c r="AB95" s="674"/>
      <c r="AC95" s="674"/>
      <c r="AD95" s="674"/>
      <c r="AE95" s="674"/>
      <c r="AF95" s="674"/>
      <c r="AG95" s="676">
        <v>0</v>
      </c>
    </row>
    <row r="96" spans="1:33" ht="18.75" hidden="1" customHeight="1">
      <c r="A96" s="2304" t="s">
        <v>586</v>
      </c>
      <c r="D96" s="1565"/>
      <c r="E96" s="483" t="str">
        <f>FHD_NUM_P_58</f>
        <v/>
      </c>
      <c r="F96" s="1806" t="str">
        <f>FHD_P_58</f>
        <v/>
      </c>
      <c r="G96" s="1807" t="s">
        <v>583</v>
      </c>
      <c r="H96" s="907"/>
      <c r="I96" s="514"/>
      <c r="J96" s="907"/>
      <c r="K96" s="226" t="str">
        <f>FHD_NOTE_P_58</f>
        <v/>
      </c>
      <c r="L96" s="480"/>
      <c r="AG96" s="1558">
        <v>0</v>
      </c>
    </row>
    <row r="97" spans="1:33" ht="18.75" hidden="1" customHeight="1">
      <c r="A97" s="2304"/>
      <c r="D97" s="1565"/>
      <c r="E97" s="483" t="str">
        <f>FHD_NUM_P_59</f>
        <v/>
      </c>
      <c r="F97" s="1806" t="str">
        <f>FHD_P_59</f>
        <v/>
      </c>
      <c r="G97" s="1807" t="s">
        <v>583</v>
      </c>
      <c r="H97" s="907"/>
      <c r="I97" s="514"/>
      <c r="J97" s="907"/>
      <c r="K97" s="226" t="str">
        <f>FHD_NOTE_P_59</f>
        <v/>
      </c>
      <c r="L97" s="480"/>
      <c r="AG97" s="1558">
        <v>0</v>
      </c>
    </row>
    <row r="98" spans="1:33" ht="18.75" hidden="1" customHeight="1">
      <c r="A98" s="2304"/>
      <c r="D98" s="1565"/>
      <c r="E98" s="483" t="str">
        <f>FHD_NUM_P_60</f>
        <v/>
      </c>
      <c r="F98" s="1806" t="str">
        <f>FHD_P_60</f>
        <v/>
      </c>
      <c r="G98" s="1807" t="s">
        <v>583</v>
      </c>
      <c r="H98" s="907"/>
      <c r="I98" s="514"/>
      <c r="J98" s="907"/>
      <c r="K98" s="226" t="str">
        <f>FHD_NOTE_P_60</f>
        <v/>
      </c>
      <c r="L98" s="480"/>
      <c r="AG98" s="1558">
        <v>0</v>
      </c>
    </row>
    <row r="99" spans="1:33" s="1293" customFormat="1" ht="18.75" hidden="1" customHeight="1">
      <c r="A99" s="2304" t="s">
        <v>587</v>
      </c>
      <c r="C99" s="1563"/>
      <c r="D99" s="1565"/>
      <c r="E99" s="483" t="str">
        <f>FHD_NUM_P_61</f>
        <v/>
      </c>
      <c r="F99" s="1806" t="str">
        <f>FHD_P_61</f>
        <v/>
      </c>
      <c r="G99" s="1804" t="s">
        <v>558</v>
      </c>
      <c r="H99" s="909"/>
      <c r="I99" s="679"/>
      <c r="J99" s="909"/>
      <c r="K99" s="226" t="str">
        <f>FHD_NOTE_P_61</f>
        <v/>
      </c>
      <c r="L99" s="480"/>
      <c r="M99" s="1563"/>
      <c r="N99" s="1563"/>
      <c r="S99" s="1563"/>
      <c r="V99" s="481"/>
      <c r="AB99" s="1559"/>
      <c r="AC99" s="1559"/>
      <c r="AD99" s="1559"/>
      <c r="AE99" s="1559"/>
      <c r="AF99" s="1559"/>
      <c r="AG99" s="1087">
        <v>0</v>
      </c>
    </row>
    <row r="100" spans="1:33" s="1569" customFormat="1" ht="0.75" hidden="1" customHeight="1">
      <c r="A100" s="2304"/>
      <c r="D100" s="485"/>
      <c r="E100" s="943" t="str">
        <f>E99&amp;".0"</f>
        <v>.0</v>
      </c>
      <c r="F100" s="924"/>
      <c r="G100" s="925"/>
      <c r="H100" s="922"/>
      <c r="I100" s="922"/>
      <c r="J100" s="922"/>
      <c r="K100" s="926"/>
      <c r="AG100" s="1563">
        <v>0</v>
      </c>
    </row>
    <row r="101" spans="1:33" ht="15" hidden="1" customHeight="1">
      <c r="A101" s="2304"/>
      <c r="D101" s="1560"/>
      <c r="E101" s="901"/>
      <c r="F101" s="902" t="s">
        <v>588</v>
      </c>
      <c r="G101" s="509"/>
      <c r="H101" s="510"/>
      <c r="I101" s="510"/>
      <c r="J101" s="2039"/>
      <c r="K101" s="934" t="s">
        <v>589</v>
      </c>
      <c r="L101" s="480"/>
      <c r="AG101" s="1558">
        <v>0</v>
      </c>
    </row>
    <row r="102" spans="1:33" s="1293" customFormat="1" ht="18.75" hidden="1" customHeight="1">
      <c r="A102" s="2304"/>
      <c r="C102" s="1563"/>
      <c r="D102" s="1565"/>
      <c r="E102" s="483" t="str">
        <f>FHD_NUM_P_62</f>
        <v/>
      </c>
      <c r="F102" s="1806" t="str">
        <f>FHD_P_62</f>
        <v/>
      </c>
      <c r="G102" s="1803" t="s">
        <v>558</v>
      </c>
      <c r="H102" s="494"/>
      <c r="I102" s="494"/>
      <c r="J102" s="494"/>
      <c r="K102" s="226" t="str">
        <f>FHD_NOTE_P_62</f>
        <v/>
      </c>
      <c r="L102" s="480"/>
      <c r="M102" s="1563"/>
      <c r="N102" s="1563"/>
      <c r="S102" s="1563"/>
      <c r="V102" s="481"/>
      <c r="AB102" s="1559"/>
      <c r="AC102" s="1559"/>
      <c r="AD102" s="1559"/>
      <c r="AE102" s="1559"/>
      <c r="AF102" s="1559"/>
      <c r="AG102" s="1087">
        <v>0</v>
      </c>
    </row>
    <row r="103" spans="1:33" s="1293" customFormat="1" ht="18.75" hidden="1" customHeight="1">
      <c r="A103" s="2304"/>
      <c r="C103" s="1563"/>
      <c r="D103" s="1565"/>
      <c r="E103" s="483" t="str">
        <f>FHD_NUM_P_63</f>
        <v/>
      </c>
      <c r="F103" s="1806" t="str">
        <f>FHD_P_63</f>
        <v/>
      </c>
      <c r="G103" s="1803" t="s">
        <v>585</v>
      </c>
      <c r="H103" s="514"/>
      <c r="I103" s="514"/>
      <c r="J103" s="514"/>
      <c r="K103" s="226" t="str">
        <f>FHD_NOTE_P_63</f>
        <v/>
      </c>
      <c r="L103" s="480"/>
      <c r="M103" s="1563"/>
      <c r="N103" s="1563"/>
      <c r="S103" s="1563"/>
      <c r="V103" s="481"/>
      <c r="AB103" s="1559"/>
      <c r="AC103" s="1559"/>
      <c r="AD103" s="1559"/>
      <c r="AE103" s="1559"/>
      <c r="AF103" s="1559"/>
      <c r="AG103" s="1087">
        <v>0</v>
      </c>
    </row>
    <row r="104" spans="1:33" s="1293" customFormat="1" ht="18.75" hidden="1" customHeight="1">
      <c r="A104" s="2304"/>
      <c r="C104" s="1563" t="s">
        <v>590</v>
      </c>
      <c r="D104" s="1565"/>
      <c r="E104" s="483" t="str">
        <f>FHD_NUM_P_64</f>
        <v/>
      </c>
      <c r="F104" s="1806" t="str">
        <f>FHD_P_64</f>
        <v/>
      </c>
      <c r="G104" s="1803" t="s">
        <v>585</v>
      </c>
      <c r="H104" s="482"/>
      <c r="I104" s="482"/>
      <c r="J104" s="482"/>
      <c r="K104" s="226" t="str">
        <f>FHD_NOTE_P_64</f>
        <v/>
      </c>
      <c r="L104" s="480"/>
      <c r="M104" s="1563"/>
      <c r="N104" s="1563"/>
      <c r="S104" s="1563"/>
      <c r="V104" s="481"/>
      <c r="AB104" s="1559"/>
      <c r="AC104" s="1559"/>
      <c r="AD104" s="1559"/>
      <c r="AE104" s="1559"/>
      <c r="AF104" s="1559"/>
      <c r="AG104" s="1087">
        <v>0</v>
      </c>
    </row>
    <row r="105" spans="1:33" s="1293" customFormat="1" ht="18.75" hidden="1" customHeight="1">
      <c r="A105" s="2304"/>
      <c r="C105" s="1563"/>
      <c r="D105" s="1565"/>
      <c r="E105" s="483" t="str">
        <f>FHD_NUM_P_65</f>
        <v/>
      </c>
      <c r="F105" s="1806" t="str">
        <f>FHD_P_65</f>
        <v/>
      </c>
      <c r="G105" s="1803" t="s">
        <v>585</v>
      </c>
      <c r="H105" s="514"/>
      <c r="I105" s="514"/>
      <c r="J105" s="514"/>
      <c r="K105" s="226" t="str">
        <f>FHD_NOTE_P_65</f>
        <v/>
      </c>
      <c r="L105" s="480"/>
      <c r="M105" s="1563"/>
      <c r="N105" s="1563"/>
      <c r="S105" s="1563"/>
      <c r="V105" s="481"/>
      <c r="AB105" s="1559"/>
      <c r="AC105" s="1559"/>
      <c r="AD105" s="1559"/>
      <c r="AE105" s="1559"/>
      <c r="AF105" s="1559"/>
      <c r="AG105" s="1087">
        <v>0</v>
      </c>
    </row>
    <row r="106" spans="1:33" s="1293" customFormat="1" ht="18.75" hidden="1" customHeight="1">
      <c r="A106" s="2304"/>
      <c r="C106" s="1563"/>
      <c r="D106" s="1565"/>
      <c r="E106" s="483" t="str">
        <f>FHD_NUM_P_66</f>
        <v/>
      </c>
      <c r="F106" s="1451" t="str">
        <f>FHD_P_66</f>
        <v/>
      </c>
      <c r="G106" s="1803" t="s">
        <v>585</v>
      </c>
      <c r="H106" s="514"/>
      <c r="I106" s="514"/>
      <c r="J106" s="514"/>
      <c r="K106" s="226" t="str">
        <f>FHD_NOTE_P_66</f>
        <v/>
      </c>
      <c r="L106" s="480"/>
      <c r="M106" s="1563"/>
      <c r="N106" s="1563"/>
      <c r="S106" s="1563"/>
      <c r="V106" s="481"/>
      <c r="AB106" s="1559"/>
      <c r="AC106" s="1559"/>
      <c r="AD106" s="1559"/>
      <c r="AE106" s="1559"/>
      <c r="AF106" s="1559"/>
      <c r="AG106" s="1087">
        <v>0</v>
      </c>
    </row>
    <row r="107" spans="1:33" s="1293" customFormat="1" ht="18.75" hidden="1" customHeight="1">
      <c r="A107" s="2304"/>
      <c r="C107" s="1563"/>
      <c r="D107" s="1565"/>
      <c r="E107" s="483" t="str">
        <f>FHD_NUM_P_67</f>
        <v/>
      </c>
      <c r="F107" s="1577" t="str">
        <f>FHD_P_67</f>
        <v/>
      </c>
      <c r="G107" s="1803" t="s">
        <v>585</v>
      </c>
      <c r="H107" s="514"/>
      <c r="I107" s="514"/>
      <c r="J107" s="514"/>
      <c r="K107" s="226" t="str">
        <f>FHD_NOTE_P_67</f>
        <v/>
      </c>
      <c r="L107" s="480"/>
      <c r="M107" s="1563"/>
      <c r="N107" s="1563"/>
      <c r="S107" s="1563"/>
      <c r="V107" s="481"/>
      <c r="AB107" s="1559"/>
      <c r="AC107" s="1559"/>
      <c r="AD107" s="1559"/>
      <c r="AE107" s="1559"/>
      <c r="AF107" s="1559"/>
      <c r="AG107" s="1087">
        <v>0</v>
      </c>
    </row>
    <row r="108" spans="1:33" s="1293" customFormat="1" ht="18.75" hidden="1" customHeight="1">
      <c r="A108" s="2304"/>
      <c r="C108" s="1563"/>
      <c r="D108" s="1565"/>
      <c r="E108" s="483" t="str">
        <f>FHD_NUM_P_68</f>
        <v/>
      </c>
      <c r="F108" s="1451" t="str">
        <f>FHD_P_68</f>
        <v/>
      </c>
      <c r="G108" s="1803" t="s">
        <v>585</v>
      </c>
      <c r="H108" s="514"/>
      <c r="I108" s="514"/>
      <c r="J108" s="514"/>
      <c r="K108" s="226" t="str">
        <f>FHD_NOTE_P_68</f>
        <v/>
      </c>
      <c r="L108" s="480"/>
      <c r="M108" s="1563"/>
      <c r="N108" s="1563"/>
      <c r="S108" s="1563"/>
      <c r="V108" s="481"/>
      <c r="AB108" s="1559"/>
      <c r="AC108" s="1559"/>
      <c r="AD108" s="1559"/>
      <c r="AE108" s="1559"/>
      <c r="AF108" s="1559"/>
      <c r="AG108" s="1087">
        <v>0</v>
      </c>
    </row>
    <row r="109" spans="1:33" s="1293" customFormat="1" ht="18.75" hidden="1" customHeight="1">
      <c r="A109" s="2304"/>
      <c r="C109" s="1563"/>
      <c r="D109" s="1565"/>
      <c r="E109" s="483" t="str">
        <f>FHD_NUM_P_69</f>
        <v/>
      </c>
      <c r="F109" s="1451" t="str">
        <f>FHD_P_69</f>
        <v/>
      </c>
      <c r="G109" s="1803" t="s">
        <v>585</v>
      </c>
      <c r="H109" s="514"/>
      <c r="I109" s="514"/>
      <c r="J109" s="514"/>
      <c r="K109" s="226" t="str">
        <f>FHD_NOTE_P_69</f>
        <v/>
      </c>
      <c r="L109" s="480"/>
      <c r="M109" s="1563"/>
      <c r="N109" s="1563"/>
      <c r="S109" s="1563"/>
      <c r="V109" s="481"/>
      <c r="AB109" s="1559"/>
      <c r="AC109" s="1559"/>
      <c r="AD109" s="1559"/>
      <c r="AE109" s="1559"/>
      <c r="AF109" s="1559"/>
      <c r="AG109" s="1087">
        <v>0</v>
      </c>
    </row>
    <row r="110" spans="1:33" s="1293" customFormat="1" ht="22.5" hidden="1" customHeight="1">
      <c r="A110" s="2304"/>
      <c r="C110" s="1563"/>
      <c r="D110" s="1565"/>
      <c r="E110" s="483" t="str">
        <f>FHD_NUM_P_70</f>
        <v/>
      </c>
      <c r="F110" s="1806" t="str">
        <f>FHD_P_70</f>
        <v/>
      </c>
      <c r="G110" s="1803" t="s">
        <v>591</v>
      </c>
      <c r="H110" s="494"/>
      <c r="I110" s="494"/>
      <c r="J110" s="494"/>
      <c r="K110" s="226" t="str">
        <f>FHD_NOTE_P_70</f>
        <v/>
      </c>
      <c r="L110" s="480"/>
      <c r="M110" s="1563"/>
      <c r="N110" s="1563"/>
      <c r="S110" s="1563"/>
      <c r="V110" s="481"/>
      <c r="AB110" s="1559"/>
      <c r="AC110" s="1559"/>
      <c r="AD110" s="1559"/>
      <c r="AE110" s="1559"/>
      <c r="AF110" s="1559"/>
      <c r="AG110" s="1087">
        <v>0</v>
      </c>
    </row>
    <row r="111" spans="1:33" s="1293" customFormat="1" ht="22.5" hidden="1" customHeight="1">
      <c r="A111" s="2304"/>
      <c r="C111" s="1563"/>
      <c r="D111" s="1565"/>
      <c r="E111" s="483" t="str">
        <f>FHD_NUM_P_71</f>
        <v/>
      </c>
      <c r="F111" s="1806" t="str">
        <f>FHD_P_71</f>
        <v/>
      </c>
      <c r="G111" s="1803" t="s">
        <v>591</v>
      </c>
      <c r="H111" s="494"/>
      <c r="I111" s="494"/>
      <c r="J111" s="494"/>
      <c r="K111" s="226" t="str">
        <f>FHD_NOTE_P_71</f>
        <v/>
      </c>
      <c r="L111" s="480"/>
      <c r="M111" s="1563"/>
      <c r="N111" s="1563"/>
      <c r="S111" s="1563"/>
      <c r="V111" s="481"/>
      <c r="AB111" s="1559"/>
      <c r="AC111" s="1559"/>
      <c r="AD111" s="1559"/>
      <c r="AE111" s="1559"/>
      <c r="AF111" s="1559"/>
      <c r="AG111" s="1087">
        <v>0</v>
      </c>
    </row>
    <row r="112" spans="1:33" ht="19.899999999999999" customHeight="1">
      <c r="D112" s="1565"/>
      <c r="E112" s="483" t="str">
        <f>FHD_NUM_P_72</f>
        <v>12</v>
      </c>
      <c r="F112" s="1806" t="str">
        <f>FHD_P_72</f>
        <v>Среднесписочная численность основного производственного персонала</v>
      </c>
      <c r="G112" s="1802" t="s">
        <v>592</v>
      </c>
      <c r="H112" s="514"/>
      <c r="I112" s="514"/>
      <c r="J112" s="514"/>
      <c r="K112" s="226" t="str">
        <f>FHD_NOTE_P_72</f>
        <v/>
      </c>
      <c r="L112" s="480"/>
      <c r="AG112" s="1558">
        <v>19</v>
      </c>
    </row>
    <row r="113" spans="1:33" ht="18.75" hidden="1" customHeight="1">
      <c r="A113" s="919" t="s">
        <v>593</v>
      </c>
      <c r="D113" s="1565"/>
      <c r="E113" s="483" t="str">
        <f>FHD_NUM_P_73</f>
        <v/>
      </c>
      <c r="F113" s="1806" t="str">
        <f>FHD_P_73</f>
        <v/>
      </c>
      <c r="G113" s="900" t="s">
        <v>592</v>
      </c>
      <c r="H113" s="898"/>
      <c r="I113" s="898"/>
      <c r="J113" s="898"/>
      <c r="K113" s="226" t="str">
        <f>FHD_NOTE_P_73</f>
        <v/>
      </c>
      <c r="L113" s="480"/>
      <c r="AG113" s="1558">
        <v>0</v>
      </c>
    </row>
    <row r="114" spans="1:33" ht="33.75" customHeight="1">
      <c r="A114" s="919" t="s">
        <v>594</v>
      </c>
      <c r="D114" s="1565"/>
      <c r="E114" s="483" t="str">
        <f>FHD_NUM_P_74</f>
        <v>13</v>
      </c>
      <c r="F114" s="1806" t="str">
        <f>FHD_P_74</f>
        <v>Удельный расход электрической энергии на подачу воды в сеть</v>
      </c>
      <c r="G114" s="1802" t="s">
        <v>595</v>
      </c>
      <c r="H114" s="514"/>
      <c r="I114" s="514"/>
      <c r="J114" s="514"/>
      <c r="K114" s="226" t="str">
        <f>FHD_NOTE_P_74</f>
        <v/>
      </c>
      <c r="L114" s="480"/>
      <c r="AG114" s="1558">
        <v>0</v>
      </c>
    </row>
    <row r="115" spans="1:33" s="1562" customFormat="1" ht="18.75" customHeight="1">
      <c r="A115" s="2304" t="s">
        <v>596</v>
      </c>
      <c r="B115" s="840"/>
      <c r="C115" s="672"/>
      <c r="D115" s="670"/>
      <c r="E115" s="483" t="str">
        <f>FHD_NUM_P_75</f>
        <v>14</v>
      </c>
      <c r="F115" s="1806" t="str">
        <f>FHD_P_75</f>
        <v>Расход воды на собственные нужды, в том числе:</v>
      </c>
      <c r="G115" s="1802" t="s">
        <v>560</v>
      </c>
      <c r="H115" s="494"/>
      <c r="I115" s="494"/>
      <c r="J115" s="494"/>
      <c r="K115" s="226" t="str">
        <f>FHD_NOTE_P_75</f>
        <v>Указывается доля общего расхода воды на собственные нужны от объема отпуска воды потребителям.</v>
      </c>
      <c r="L115" s="671"/>
      <c r="M115" s="672"/>
      <c r="N115" s="672"/>
      <c r="O115" s="840"/>
      <c r="P115" s="840"/>
      <c r="Q115" s="840"/>
      <c r="R115" s="840"/>
      <c r="S115" s="672"/>
      <c r="T115" s="840"/>
      <c r="U115" s="840"/>
      <c r="V115" s="673"/>
      <c r="W115" s="840"/>
      <c r="X115" s="840"/>
      <c r="Y115" s="840"/>
      <c r="Z115" s="840"/>
      <c r="AA115" s="840"/>
      <c r="AB115" s="674"/>
      <c r="AC115" s="674"/>
      <c r="AD115" s="674"/>
      <c r="AE115" s="674"/>
      <c r="AF115" s="674"/>
      <c r="AG115" s="676">
        <v>0</v>
      </c>
    </row>
    <row r="116" spans="1:33" s="1562" customFormat="1" ht="18.75" customHeight="1">
      <c r="A116" s="2304"/>
      <c r="B116" s="840"/>
      <c r="C116" s="672"/>
      <c r="D116" s="670"/>
      <c r="E116" s="483" t="str">
        <f>FHD_NUM_P_76</f>
        <v>14.1</v>
      </c>
      <c r="F116" s="1806" t="str">
        <f>FHD_P_76</f>
        <v>Расход воды на хозяйственно-бытовые нужды</v>
      </c>
      <c r="G116" s="1802" t="s">
        <v>560</v>
      </c>
      <c r="H116" s="494"/>
      <c r="I116" s="494"/>
      <c r="J116" s="494"/>
      <c r="K116" s="226" t="str">
        <f>FHD_NOTE_P_76</f>
        <v>Указывается доля расхода воды на хозяйственно-бытовые нужны от объема отпуска воды потребителям.</v>
      </c>
      <c r="L116" s="671"/>
      <c r="M116" s="672"/>
      <c r="N116" s="672"/>
      <c r="O116" s="840"/>
      <c r="P116" s="840"/>
      <c r="Q116" s="840"/>
      <c r="R116" s="840"/>
      <c r="S116" s="672"/>
      <c r="T116" s="840"/>
      <c r="U116" s="840"/>
      <c r="V116" s="673"/>
      <c r="W116" s="840"/>
      <c r="X116" s="840"/>
      <c r="Y116" s="840"/>
      <c r="Z116" s="840"/>
      <c r="AA116" s="840"/>
      <c r="AB116" s="674"/>
      <c r="AC116" s="674"/>
      <c r="AD116" s="674"/>
      <c r="AE116" s="674"/>
      <c r="AF116" s="674"/>
      <c r="AG116" s="676">
        <v>0</v>
      </c>
    </row>
    <row r="117" spans="1:33" s="1562" customFormat="1" ht="18.75" customHeight="1">
      <c r="A117" s="2304"/>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560</v>
      </c>
      <c r="H117" s="494"/>
      <c r="I117" s="494"/>
      <c r="J117" s="494"/>
      <c r="K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117" s="671"/>
      <c r="M117" s="672"/>
      <c r="N117" s="672"/>
      <c r="O117" s="840"/>
      <c r="P117" s="840"/>
      <c r="Q117" s="840"/>
      <c r="R117" s="840"/>
      <c r="S117" s="672"/>
      <c r="T117" s="840"/>
      <c r="U117" s="840"/>
      <c r="V117" s="673"/>
      <c r="W117" s="840"/>
      <c r="X117" s="840"/>
      <c r="Y117" s="840"/>
      <c r="Z117" s="840"/>
      <c r="AA117" s="840"/>
      <c r="AB117" s="674"/>
      <c r="AC117" s="674"/>
      <c r="AD117" s="674"/>
      <c r="AE117" s="674"/>
      <c r="AF117" s="674"/>
      <c r="AG117" s="676">
        <v>0</v>
      </c>
    </row>
    <row r="118" spans="1:33" s="1569" customFormat="1" ht="0.75" customHeight="1">
      <c r="A118" s="2304"/>
      <c r="D118" s="485"/>
      <c r="E118" s="943" t="str">
        <f>E117&amp;".0"</f>
        <v>15.0</v>
      </c>
      <c r="F118" s="927"/>
      <c r="G118" s="1578"/>
      <c r="H118" s="922"/>
      <c r="I118" s="922"/>
      <c r="J118" s="922"/>
      <c r="K118" s="926"/>
      <c r="AG118" s="1563">
        <v>0</v>
      </c>
    </row>
    <row r="119" spans="1:33" s="1562" customFormat="1" ht="15" customHeight="1">
      <c r="A119" s="2304"/>
      <c r="B119" s="840"/>
      <c r="C119" s="672"/>
      <c r="D119" s="683"/>
      <c r="E119" s="903"/>
      <c r="F119" s="904" t="s">
        <v>597</v>
      </c>
      <c r="G119" s="684"/>
      <c r="H119" s="685"/>
      <c r="I119" s="685"/>
      <c r="J119" s="2040"/>
      <c r="K119" s="933" t="s">
        <v>598</v>
      </c>
      <c r="L119" s="671"/>
      <c r="M119" s="672"/>
      <c r="N119" s="672"/>
      <c r="O119" s="840"/>
      <c r="P119" s="840"/>
      <c r="Q119" s="840"/>
      <c r="R119" s="840"/>
      <c r="S119" s="672"/>
      <c r="T119" s="840"/>
      <c r="U119" s="840"/>
      <c r="V119" s="673"/>
      <c r="W119" s="840"/>
      <c r="X119" s="840"/>
      <c r="Y119" s="840"/>
      <c r="Z119" s="840"/>
      <c r="AA119" s="840"/>
      <c r="AB119" s="674"/>
      <c r="AC119" s="674"/>
      <c r="AD119" s="674"/>
      <c r="AE119" s="674"/>
      <c r="AF119" s="674"/>
      <c r="AG119" s="676">
        <v>0</v>
      </c>
    </row>
    <row r="120" spans="1:33" ht="22.5" hidden="1" customHeight="1">
      <c r="A120" s="2304" t="s">
        <v>599</v>
      </c>
      <c r="D120" s="1565"/>
      <c r="E120" s="483" t="str">
        <f>FHD_NUM_P_78</f>
        <v/>
      </c>
      <c r="F120" s="1806" t="str">
        <f>FHD_P_78</f>
        <v/>
      </c>
      <c r="G120" s="1803" t="s">
        <v>562</v>
      </c>
      <c r="H120" s="514"/>
      <c r="I120" s="514"/>
      <c r="J120" s="514"/>
      <c r="K120" s="226" t="str">
        <f>FHD_NOTE_P_78</f>
        <v/>
      </c>
      <c r="L120" s="480"/>
      <c r="AG120" s="1558">
        <v>0</v>
      </c>
    </row>
    <row r="121" spans="1:33" s="1569" customFormat="1" ht="0.75" hidden="1" customHeight="1">
      <c r="A121" s="2304"/>
      <c r="D121" s="485"/>
      <c r="E121" s="943" t="str">
        <f>E120&amp;".0"</f>
        <v>.0</v>
      </c>
      <c r="F121" s="927"/>
      <c r="G121" s="1578"/>
      <c r="H121" s="922"/>
      <c r="I121" s="922"/>
      <c r="J121" s="922"/>
      <c r="K121" s="926"/>
      <c r="AG121" s="1563">
        <v>0</v>
      </c>
    </row>
    <row r="122" spans="1:33" ht="15" hidden="1" customHeight="1">
      <c r="A122" s="2304"/>
      <c r="D122" s="1560"/>
      <c r="E122" s="507"/>
      <c r="F122" s="1095" t="s">
        <v>588</v>
      </c>
      <c r="G122" s="509"/>
      <c r="H122" s="510"/>
      <c r="I122" s="510"/>
      <c r="J122" s="2041"/>
      <c r="K122" s="934" t="s">
        <v>600</v>
      </c>
      <c r="L122" s="480"/>
      <c r="AG122" s="1558">
        <v>0</v>
      </c>
    </row>
    <row r="123" spans="1:33" ht="22.5" hidden="1" customHeight="1">
      <c r="A123" s="2304"/>
      <c r="D123" s="1565"/>
      <c r="E123" s="483" t="str">
        <f>FHD_NUM_P_79</f>
        <v/>
      </c>
      <c r="F123" s="1806" t="str">
        <f>FHD_P_79</f>
        <v/>
      </c>
      <c r="G123" s="1804" t="s">
        <v>564</v>
      </c>
      <c r="H123" s="514"/>
      <c r="I123" s="514"/>
      <c r="J123" s="514"/>
      <c r="K123" s="226" t="str">
        <f>FHD_NOTE_P_79</f>
        <v/>
      </c>
      <c r="L123" s="480"/>
      <c r="AG123" s="1558">
        <v>0</v>
      </c>
    </row>
    <row r="124" spans="1:33" s="1569" customFormat="1" ht="0.75" hidden="1" customHeight="1">
      <c r="A124" s="2304"/>
      <c r="D124" s="485"/>
      <c r="E124" s="943" t="str">
        <f>E123&amp;".0"</f>
        <v>.0</v>
      </c>
      <c r="F124" s="928"/>
      <c r="G124" s="1578"/>
      <c r="H124" s="922"/>
      <c r="I124" s="922"/>
      <c r="J124" s="922"/>
      <c r="K124" s="926"/>
      <c r="AG124" s="1563">
        <v>0</v>
      </c>
    </row>
    <row r="125" spans="1:33" ht="15" hidden="1" customHeight="1">
      <c r="A125" s="2304"/>
      <c r="D125" s="1560"/>
      <c r="E125" s="507"/>
      <c r="F125" s="1095" t="s">
        <v>588</v>
      </c>
      <c r="G125" s="509"/>
      <c r="H125" s="510"/>
      <c r="I125" s="510"/>
      <c r="J125" s="2042"/>
      <c r="K125" s="934" t="s">
        <v>601</v>
      </c>
      <c r="L125" s="480"/>
      <c r="AG125" s="1558">
        <v>0</v>
      </c>
    </row>
    <row r="126" spans="1:33" ht="22.5" hidden="1" customHeight="1">
      <c r="A126" s="2304"/>
      <c r="D126" s="1565"/>
      <c r="E126" s="483" t="str">
        <f>FHD_NUM_P_80</f>
        <v/>
      </c>
      <c r="F126" s="1806" t="str">
        <f>FHD_P_80</f>
        <v/>
      </c>
      <c r="G126" s="1804" t="s">
        <v>602</v>
      </c>
      <c r="H126" s="494"/>
      <c r="I126" s="494"/>
      <c r="J126" s="494"/>
      <c r="K126" s="226" t="str">
        <f>FHD_NOTE_P_80</f>
        <v/>
      </c>
      <c r="L126" s="480"/>
      <c r="AG126" s="1558">
        <v>0</v>
      </c>
    </row>
    <row r="127" spans="1:33" ht="18.75" hidden="1" customHeight="1">
      <c r="A127" s="2304"/>
      <c r="D127" s="1565"/>
      <c r="E127" s="483" t="str">
        <f>FHD_NUM_P_81</f>
        <v/>
      </c>
      <c r="F127" s="1806" t="str">
        <f>FHD_P_81</f>
        <v/>
      </c>
      <c r="G127" s="1804" t="s">
        <v>603</v>
      </c>
      <c r="H127" s="494"/>
      <c r="I127" s="494"/>
      <c r="J127" s="494"/>
      <c r="K127" s="226" t="str">
        <f>FHD_NOTE_P_81</f>
        <v/>
      </c>
      <c r="L127" s="480"/>
      <c r="AG127" s="1558">
        <v>0</v>
      </c>
    </row>
    <row r="128" spans="1:33" ht="18.75" hidden="1" customHeight="1">
      <c r="A128" s="2304"/>
      <c r="C128" s="1563" t="s">
        <v>590</v>
      </c>
      <c r="D128" s="1565"/>
      <c r="E128" s="483" t="str">
        <f>FHD_NUM_P_82</f>
        <v/>
      </c>
      <c r="F128" s="1806" t="str">
        <f>FHD_P_82</f>
        <v/>
      </c>
      <c r="G128" s="1804" t="s">
        <v>308</v>
      </c>
      <c r="H128" s="338"/>
      <c r="I128" s="338"/>
      <c r="J128" s="749"/>
      <c r="K128" s="226" t="str">
        <f>FHD_NOTE_P_82</f>
        <v/>
      </c>
      <c r="L128" s="480"/>
      <c r="AG128" s="1558">
        <v>0</v>
      </c>
    </row>
    <row r="129" spans="1:33" ht="18.75" hidden="1" customHeight="1">
      <c r="A129" s="2304"/>
      <c r="C129" s="1563" t="s">
        <v>590</v>
      </c>
      <c r="D129" s="1565"/>
      <c r="E129" s="483" t="str">
        <f>FHD_NUM_P_83</f>
        <v/>
      </c>
      <c r="F129" s="1451" t="str">
        <f>FHD_P_83</f>
        <v/>
      </c>
      <c r="G129" s="1804" t="s">
        <v>308</v>
      </c>
      <c r="H129" s="338"/>
      <c r="I129" s="338"/>
      <c r="J129" s="749"/>
      <c r="K129" s="226" t="str">
        <f>FHD_NOTE_P_83</f>
        <v/>
      </c>
      <c r="L129" s="480"/>
      <c r="AG129" s="1558">
        <v>0</v>
      </c>
    </row>
    <row r="130" spans="1:33" ht="18.75" hidden="1" customHeight="1">
      <c r="A130" s="2304"/>
      <c r="C130" s="1563" t="s">
        <v>590</v>
      </c>
      <c r="D130" s="1565"/>
      <c r="E130" s="483" t="str">
        <f>FHD_NUM_P_84</f>
        <v/>
      </c>
      <c r="F130" s="1451" t="str">
        <f>FHD_P_84</f>
        <v/>
      </c>
      <c r="G130" s="1804" t="s">
        <v>308</v>
      </c>
      <c r="H130" s="338"/>
      <c r="I130" s="338"/>
      <c r="J130" s="749"/>
      <c r="K130" s="226" t="str">
        <f>FHD_NOTE_P_84</f>
        <v/>
      </c>
      <c r="L130" s="480"/>
      <c r="AG130" s="1558">
        <v>0</v>
      </c>
    </row>
    <row r="131" spans="1:33" ht="11.45" customHeight="1">
      <c r="D131" s="1565"/>
      <c r="AG131" s="1558">
        <v>11</v>
      </c>
    </row>
    <row r="132" spans="1:33" ht="13.5" customHeight="1">
      <c r="D132" s="1565"/>
      <c r="E132" s="273"/>
      <c r="F132" s="306"/>
      <c r="G132" s="306"/>
      <c r="H132" s="306"/>
      <c r="I132" s="1574"/>
      <c r="J132" s="1614"/>
      <c r="K132" s="518"/>
      <c r="AG132" s="1558">
        <v>13</v>
      </c>
    </row>
    <row r="133" spans="1:33" s="1568" customFormat="1" ht="11.45" customHeight="1">
      <c r="A133" s="917"/>
      <c r="B133" s="1563"/>
      <c r="C133" s="1563"/>
      <c r="D133" s="288"/>
      <c r="F133" s="1567"/>
      <c r="G133" s="1558"/>
      <c r="H133" s="1558"/>
      <c r="I133" s="1558"/>
      <c r="J133" s="1562"/>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H136" s="503" t="str">
        <f>IF(H30-H31&lt;&gt;H72,"WARNING","")</f>
        <v/>
      </c>
      <c r="I136" s="503" t="str">
        <f>IF(I30-I31&lt;&gt;I72,"WARNING","")</f>
        <v/>
      </c>
      <c r="J136" s="559" t="str">
        <f>IF(J30-J31&lt;&gt;J72,"WARNING","")</f>
        <v/>
      </c>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s="1568" customFormat="1" ht="11.45" customHeight="1">
      <c r="A196" s="917"/>
      <c r="B196" s="1563"/>
      <c r="C196" s="1563"/>
      <c r="D196" s="288"/>
      <c r="L196" s="1087"/>
      <c r="M196" s="1563"/>
      <c r="N196" s="1563"/>
      <c r="O196" s="1087"/>
      <c r="P196" s="1087"/>
      <c r="Q196" s="1087"/>
      <c r="R196" s="1087"/>
      <c r="S196" s="1563"/>
      <c r="T196" s="1087"/>
      <c r="U196" s="1087"/>
      <c r="V196" s="481"/>
      <c r="W196" s="1087"/>
      <c r="X196" s="1087"/>
      <c r="Y196" s="1087"/>
      <c r="Z196" s="1087"/>
      <c r="AA196" s="1087"/>
      <c r="AB196" s="1559"/>
      <c r="AC196" s="503"/>
      <c r="AD196" s="503"/>
      <c r="AE196" s="503"/>
      <c r="AF196" s="503"/>
      <c r="AG196" s="1568">
        <v>11</v>
      </c>
    </row>
    <row r="197" spans="1:33" s="1568" customFormat="1" ht="11.45" customHeight="1">
      <c r="A197" s="917"/>
      <c r="B197" s="1563"/>
      <c r="C197" s="1563"/>
      <c r="D197" s="288"/>
      <c r="L197" s="1087"/>
      <c r="M197" s="1563"/>
      <c r="N197" s="1563"/>
      <c r="O197" s="1087"/>
      <c r="P197" s="1087"/>
      <c r="Q197" s="1087"/>
      <c r="R197" s="1087"/>
      <c r="S197" s="1563"/>
      <c r="T197" s="1087"/>
      <c r="U197" s="1087"/>
      <c r="V197" s="481"/>
      <c r="W197" s="1087"/>
      <c r="X197" s="1087"/>
      <c r="Y197" s="1087"/>
      <c r="Z197" s="1087"/>
      <c r="AA197" s="1087"/>
      <c r="AB197" s="1559"/>
      <c r="AC197" s="503"/>
      <c r="AD197" s="503"/>
      <c r="AE197" s="503"/>
      <c r="AF197" s="503"/>
      <c r="AG197" s="1568">
        <v>11</v>
      </c>
    </row>
    <row r="198" spans="1:33" s="1568" customFormat="1" ht="11.45" customHeight="1">
      <c r="A198" s="917"/>
      <c r="B198" s="1563"/>
      <c r="C198" s="1563"/>
      <c r="D198" s="288"/>
      <c r="L198" s="1087"/>
      <c r="M198" s="1563"/>
      <c r="N198" s="1563"/>
      <c r="O198" s="1087"/>
      <c r="P198" s="1087"/>
      <c r="Q198" s="1087"/>
      <c r="R198" s="1087"/>
      <c r="S198" s="1563"/>
      <c r="T198" s="1087"/>
      <c r="U198" s="1087"/>
      <c r="V198" s="481"/>
      <c r="W198" s="1087"/>
      <c r="X198" s="1087"/>
      <c r="Y198" s="1087"/>
      <c r="Z198" s="1087"/>
      <c r="AA198" s="1087"/>
      <c r="AB198" s="1559"/>
      <c r="AC198" s="503"/>
      <c r="AD198" s="503"/>
      <c r="AE198" s="503"/>
      <c r="AF198" s="503"/>
      <c r="AG198" s="1568">
        <v>11</v>
      </c>
    </row>
    <row r="199" spans="1:33" s="1568" customFormat="1" ht="11.45" customHeight="1">
      <c r="A199" s="917"/>
      <c r="B199" s="1563"/>
      <c r="C199" s="1563"/>
      <c r="D199" s="288"/>
      <c r="L199" s="1087"/>
      <c r="M199" s="1563"/>
      <c r="N199" s="1563"/>
      <c r="O199" s="1087"/>
      <c r="P199" s="1087"/>
      <c r="Q199" s="1087"/>
      <c r="R199" s="1087"/>
      <c r="S199" s="1563"/>
      <c r="T199" s="1087"/>
      <c r="U199" s="1087"/>
      <c r="V199" s="481"/>
      <c r="W199" s="1087"/>
      <c r="X199" s="1087"/>
      <c r="Y199" s="1087"/>
      <c r="Z199" s="1087"/>
      <c r="AA199" s="1087"/>
      <c r="AB199" s="1559"/>
      <c r="AC199" s="503"/>
      <c r="AD199" s="503"/>
      <c r="AE199" s="503"/>
      <c r="AF199" s="503"/>
      <c r="AG199" s="1568">
        <v>11</v>
      </c>
    </row>
    <row r="200" spans="1:33" s="1568" customFormat="1" ht="11.45" customHeight="1">
      <c r="A200" s="917"/>
      <c r="B200" s="1563"/>
      <c r="C200" s="1563"/>
      <c r="D200" s="288"/>
      <c r="L200" s="1087"/>
      <c r="M200" s="1563"/>
      <c r="N200" s="1563"/>
      <c r="O200" s="1087"/>
      <c r="P200" s="1087"/>
      <c r="Q200" s="1087"/>
      <c r="R200" s="1087"/>
      <c r="S200" s="1563"/>
      <c r="T200" s="1087"/>
      <c r="U200" s="1087"/>
      <c r="V200" s="481"/>
      <c r="W200" s="1087"/>
      <c r="X200" s="1087"/>
      <c r="Y200" s="1087"/>
      <c r="Z200" s="1087"/>
      <c r="AA200" s="1087"/>
      <c r="AB200" s="1559"/>
      <c r="AC200" s="503"/>
      <c r="AD200" s="503"/>
      <c r="AE200" s="503"/>
      <c r="AF200" s="503"/>
      <c r="AG200" s="1568">
        <v>11</v>
      </c>
    </row>
    <row r="201" spans="1:33" s="1568" customFormat="1" ht="11.45" customHeight="1">
      <c r="A201" s="917"/>
      <c r="B201" s="1563"/>
      <c r="C201" s="1563"/>
      <c r="D201" s="288"/>
      <c r="L201" s="1087"/>
      <c r="M201" s="1563"/>
      <c r="N201" s="1563"/>
      <c r="O201" s="1087"/>
      <c r="P201" s="1087"/>
      <c r="Q201" s="1087"/>
      <c r="R201" s="1087"/>
      <c r="S201" s="1563"/>
      <c r="T201" s="1087"/>
      <c r="U201" s="1087"/>
      <c r="V201" s="481"/>
      <c r="W201" s="1087"/>
      <c r="X201" s="1087"/>
      <c r="Y201" s="1087"/>
      <c r="Z201" s="1087"/>
      <c r="AA201" s="1087"/>
      <c r="AB201" s="1559"/>
      <c r="AC201" s="503"/>
      <c r="AD201" s="503"/>
      <c r="AE201" s="503"/>
      <c r="AF201" s="503"/>
      <c r="AG201" s="1568">
        <v>11</v>
      </c>
    </row>
    <row r="202" spans="1:33" s="1568" customFormat="1" ht="11.45" customHeight="1">
      <c r="A202" s="917"/>
      <c r="B202" s="1563"/>
      <c r="C202" s="1563"/>
      <c r="D202" s="288"/>
      <c r="L202" s="1087"/>
      <c r="M202" s="1563"/>
      <c r="N202" s="1563"/>
      <c r="O202" s="1087"/>
      <c r="P202" s="1087"/>
      <c r="Q202" s="1087"/>
      <c r="R202" s="1087"/>
      <c r="S202" s="1563"/>
      <c r="T202" s="1087"/>
      <c r="U202" s="1087"/>
      <c r="V202" s="481"/>
      <c r="W202" s="1087"/>
      <c r="X202" s="1087"/>
      <c r="Y202" s="1087"/>
      <c r="Z202" s="1087"/>
      <c r="AA202" s="1087"/>
      <c r="AB202" s="1559"/>
      <c r="AC202" s="503"/>
      <c r="AD202" s="503"/>
      <c r="AE202" s="503"/>
      <c r="AF202" s="503"/>
      <c r="AG202" s="1568">
        <v>11</v>
      </c>
    </row>
    <row r="203" spans="1:33" s="1568" customFormat="1" ht="11.45" customHeight="1">
      <c r="A203" s="917"/>
      <c r="B203" s="1563"/>
      <c r="C203" s="1563"/>
      <c r="D203" s="288"/>
      <c r="L203" s="1087"/>
      <c r="M203" s="1563"/>
      <c r="N203" s="1563"/>
      <c r="O203" s="1087"/>
      <c r="P203" s="1087"/>
      <c r="Q203" s="1087"/>
      <c r="R203" s="1087"/>
      <c r="S203" s="1563"/>
      <c r="T203" s="1087"/>
      <c r="U203" s="1087"/>
      <c r="V203" s="481"/>
      <c r="W203" s="1087"/>
      <c r="X203" s="1087"/>
      <c r="Y203" s="1087"/>
      <c r="Z203" s="1087"/>
      <c r="AA203" s="1087"/>
      <c r="AB203" s="1559"/>
      <c r="AC203" s="503"/>
      <c r="AD203" s="503"/>
      <c r="AE203" s="503"/>
      <c r="AF203" s="503"/>
      <c r="AG203" s="1568">
        <v>11</v>
      </c>
    </row>
    <row r="204" spans="1:33" s="1568" customFormat="1" ht="11.45" customHeight="1">
      <c r="A204" s="917"/>
      <c r="B204" s="1563"/>
      <c r="C204" s="1563"/>
      <c r="D204" s="288"/>
      <c r="L204" s="1087"/>
      <c r="M204" s="1563"/>
      <c r="N204" s="1563"/>
      <c r="O204" s="1087"/>
      <c r="P204" s="1087"/>
      <c r="Q204" s="1087"/>
      <c r="R204" s="1087"/>
      <c r="S204" s="1563"/>
      <c r="T204" s="1087"/>
      <c r="U204" s="1087"/>
      <c r="V204" s="481"/>
      <c r="W204" s="1087"/>
      <c r="X204" s="1087"/>
      <c r="Y204" s="1087"/>
      <c r="Z204" s="1087"/>
      <c r="AA204" s="1087"/>
      <c r="AB204" s="1559"/>
      <c r="AC204" s="503"/>
      <c r="AD204" s="503"/>
      <c r="AE204" s="503"/>
      <c r="AF204" s="503"/>
      <c r="AG204" s="1568">
        <v>11</v>
      </c>
    </row>
    <row r="205" spans="1:33" s="1568" customFormat="1" ht="11.45" customHeight="1">
      <c r="A205" s="917"/>
      <c r="B205" s="1563"/>
      <c r="C205" s="1563"/>
      <c r="D205" s="288"/>
      <c r="L205" s="1087"/>
      <c r="M205" s="1563"/>
      <c r="N205" s="1563"/>
      <c r="O205" s="1087"/>
      <c r="P205" s="1087"/>
      <c r="Q205" s="1087"/>
      <c r="R205" s="1087"/>
      <c r="S205" s="1563"/>
      <c r="T205" s="1087"/>
      <c r="U205" s="1087"/>
      <c r="V205" s="481"/>
      <c r="W205" s="1087"/>
      <c r="X205" s="1087"/>
      <c r="Y205" s="1087"/>
      <c r="Z205" s="1087"/>
      <c r="AA205" s="1087"/>
      <c r="AB205" s="1559"/>
      <c r="AC205" s="503"/>
      <c r="AD205" s="503"/>
      <c r="AE205" s="503"/>
      <c r="AF205" s="503"/>
      <c r="AG205" s="1568">
        <v>11</v>
      </c>
    </row>
    <row r="206" spans="1:33" s="1568" customFormat="1" ht="11.45" customHeight="1">
      <c r="A206" s="917"/>
      <c r="B206" s="1563"/>
      <c r="C206" s="1563"/>
      <c r="D206" s="288"/>
      <c r="L206" s="1087"/>
      <c r="M206" s="1563"/>
      <c r="N206" s="1563"/>
      <c r="O206" s="1087"/>
      <c r="P206" s="1087"/>
      <c r="Q206" s="1087"/>
      <c r="R206" s="1087"/>
      <c r="S206" s="1563"/>
      <c r="T206" s="1087"/>
      <c r="U206" s="1087"/>
      <c r="V206" s="481"/>
      <c r="W206" s="1087"/>
      <c r="X206" s="1087"/>
      <c r="Y206" s="1087"/>
      <c r="Z206" s="1087"/>
      <c r="AA206" s="1087"/>
      <c r="AB206" s="1559"/>
      <c r="AC206" s="503"/>
      <c r="AD206" s="503"/>
      <c r="AE206" s="503"/>
      <c r="AF206" s="503"/>
      <c r="AG206" s="1568">
        <v>11</v>
      </c>
    </row>
    <row r="207" spans="1:33" s="1568" customFormat="1" ht="11.45" customHeight="1">
      <c r="A207" s="917"/>
      <c r="B207" s="1563"/>
      <c r="C207" s="1563"/>
      <c r="D207" s="288"/>
      <c r="L207" s="1087"/>
      <c r="M207" s="1563"/>
      <c r="N207" s="1563"/>
      <c r="O207" s="1087"/>
      <c r="P207" s="1087"/>
      <c r="Q207" s="1087"/>
      <c r="R207" s="1087"/>
      <c r="S207" s="1563"/>
      <c r="T207" s="1087"/>
      <c r="U207" s="1087"/>
      <c r="V207" s="481"/>
      <c r="W207" s="1087"/>
      <c r="X207" s="1087"/>
      <c r="Y207" s="1087"/>
      <c r="Z207" s="1087"/>
      <c r="AA207" s="1087"/>
      <c r="AB207" s="1559"/>
      <c r="AC207" s="503"/>
      <c r="AD207" s="503"/>
      <c r="AE207" s="503"/>
      <c r="AF207" s="503"/>
      <c r="AG207" s="1568">
        <v>11</v>
      </c>
    </row>
    <row r="208" spans="1:33" s="1568" customFormat="1" ht="11.45" customHeight="1">
      <c r="A208" s="917"/>
      <c r="B208" s="1563"/>
      <c r="C208" s="1563"/>
      <c r="D208" s="288"/>
      <c r="L208" s="1087"/>
      <c r="M208" s="1563"/>
      <c r="N208" s="1563"/>
      <c r="O208" s="1087"/>
      <c r="P208" s="1087"/>
      <c r="Q208" s="1087"/>
      <c r="R208" s="1087"/>
      <c r="S208" s="1563"/>
      <c r="T208" s="1087"/>
      <c r="U208" s="1087"/>
      <c r="V208" s="481"/>
      <c r="W208" s="1087"/>
      <c r="X208" s="1087"/>
      <c r="Y208" s="1087"/>
      <c r="Z208" s="1087"/>
      <c r="AA208" s="1087"/>
      <c r="AB208" s="1559"/>
      <c r="AC208" s="503"/>
      <c r="AD208" s="503"/>
      <c r="AE208" s="503"/>
      <c r="AF208" s="503"/>
      <c r="AG208" s="1568">
        <v>11</v>
      </c>
    </row>
    <row r="209" spans="1:33" s="1568" customFormat="1" ht="11.45" customHeight="1">
      <c r="A209" s="917"/>
      <c r="B209" s="1563"/>
      <c r="C209" s="1563"/>
      <c r="D209" s="288"/>
      <c r="L209" s="1087"/>
      <c r="M209" s="1563"/>
      <c r="N209" s="1563"/>
      <c r="O209" s="1087"/>
      <c r="P209" s="1087"/>
      <c r="Q209" s="1087"/>
      <c r="R209" s="1087"/>
      <c r="S209" s="1563"/>
      <c r="T209" s="1087"/>
      <c r="U209" s="1087"/>
      <c r="V209" s="481"/>
      <c r="W209" s="1087"/>
      <c r="X209" s="1087"/>
      <c r="Y209" s="1087"/>
      <c r="Z209" s="1087"/>
      <c r="AA209" s="1087"/>
      <c r="AB209" s="1559"/>
      <c r="AC209" s="503"/>
      <c r="AD209" s="503"/>
      <c r="AE209" s="503"/>
      <c r="AF209" s="503"/>
      <c r="AG209" s="1568">
        <v>11</v>
      </c>
    </row>
    <row r="210" spans="1:33" s="1568" customFormat="1" ht="11.45" customHeight="1">
      <c r="A210" s="917"/>
      <c r="B210" s="1563"/>
      <c r="C210" s="1563"/>
      <c r="D210" s="288"/>
      <c r="L210" s="1087"/>
      <c r="M210" s="1563"/>
      <c r="N210" s="1563"/>
      <c r="O210" s="1087"/>
      <c r="P210" s="1087"/>
      <c r="Q210" s="1087"/>
      <c r="R210" s="1087"/>
      <c r="S210" s="1563"/>
      <c r="T210" s="1087"/>
      <c r="U210" s="1087"/>
      <c r="V210" s="481"/>
      <c r="W210" s="1087"/>
      <c r="X210" s="1087"/>
      <c r="Y210" s="1087"/>
      <c r="Z210" s="1087"/>
      <c r="AA210" s="1087"/>
      <c r="AB210" s="1559"/>
      <c r="AC210" s="503"/>
      <c r="AD210" s="503"/>
      <c r="AE210" s="503"/>
      <c r="AF210" s="503"/>
      <c r="AG210" s="1568">
        <v>11</v>
      </c>
    </row>
    <row r="211" spans="1:33" s="1568" customFormat="1" ht="11.45" customHeight="1">
      <c r="A211" s="917"/>
      <c r="B211" s="1563"/>
      <c r="C211" s="1563"/>
      <c r="D211" s="288"/>
      <c r="L211" s="1087"/>
      <c r="M211" s="1563"/>
      <c r="N211" s="1563"/>
      <c r="O211" s="1087"/>
      <c r="P211" s="1087"/>
      <c r="Q211" s="1087"/>
      <c r="R211" s="1087"/>
      <c r="S211" s="1563"/>
      <c r="T211" s="1087"/>
      <c r="U211" s="1087"/>
      <c r="V211" s="481"/>
      <c r="W211" s="1087"/>
      <c r="X211" s="1087"/>
      <c r="Y211" s="1087"/>
      <c r="Z211" s="1087"/>
      <c r="AA211" s="1087"/>
      <c r="AB211" s="1559"/>
      <c r="AC211" s="503"/>
      <c r="AD211" s="503"/>
      <c r="AE211" s="503"/>
      <c r="AF211" s="503"/>
      <c r="AG211" s="1568">
        <v>11</v>
      </c>
    </row>
    <row r="212" spans="1:33" s="1568" customFormat="1" ht="11.45" customHeight="1">
      <c r="A212" s="917"/>
      <c r="B212" s="1563"/>
      <c r="C212" s="1563"/>
      <c r="D212" s="288"/>
      <c r="L212" s="1087"/>
      <c r="M212" s="1563"/>
      <c r="N212" s="1563"/>
      <c r="O212" s="1087"/>
      <c r="P212" s="1087"/>
      <c r="Q212" s="1087"/>
      <c r="R212" s="1087"/>
      <c r="S212" s="1563"/>
      <c r="T212" s="1087"/>
      <c r="U212" s="1087"/>
      <c r="V212" s="481"/>
      <c r="W212" s="1087"/>
      <c r="X212" s="1087"/>
      <c r="Y212" s="1087"/>
      <c r="Z212" s="1087"/>
      <c r="AA212" s="1087"/>
      <c r="AB212" s="1559"/>
      <c r="AC212" s="503"/>
      <c r="AD212" s="503"/>
      <c r="AE212" s="503"/>
      <c r="AF212" s="503"/>
      <c r="AG212" s="1568">
        <v>11</v>
      </c>
    </row>
    <row r="213" spans="1:33" s="1568" customFormat="1" ht="11.45" customHeight="1">
      <c r="A213" s="917"/>
      <c r="B213" s="1563"/>
      <c r="C213" s="1563"/>
      <c r="D213" s="288"/>
      <c r="L213" s="1087"/>
      <c r="M213" s="1563"/>
      <c r="N213" s="1563"/>
      <c r="O213" s="1087"/>
      <c r="P213" s="1087"/>
      <c r="Q213" s="1087"/>
      <c r="R213" s="1087"/>
      <c r="S213" s="1563"/>
      <c r="T213" s="1087"/>
      <c r="U213" s="1087"/>
      <c r="V213" s="481"/>
      <c r="W213" s="1087"/>
      <c r="X213" s="1087"/>
      <c r="Y213" s="1087"/>
      <c r="Z213" s="1087"/>
      <c r="AA213" s="1087"/>
      <c r="AB213" s="1559"/>
      <c r="AC213" s="503"/>
      <c r="AD213" s="503"/>
      <c r="AE213" s="503"/>
      <c r="AF213" s="503"/>
      <c r="AG213" s="1568">
        <v>11</v>
      </c>
    </row>
    <row r="214" spans="1:33" s="1568" customFormat="1" ht="11.45" customHeight="1">
      <c r="A214" s="917"/>
      <c r="B214" s="1563"/>
      <c r="C214" s="1563"/>
      <c r="D214" s="288"/>
      <c r="L214" s="1087"/>
      <c r="M214" s="1563"/>
      <c r="N214" s="1563"/>
      <c r="O214" s="1087"/>
      <c r="P214" s="1087"/>
      <c r="Q214" s="1087"/>
      <c r="R214" s="1087"/>
      <c r="S214" s="1563"/>
      <c r="T214" s="1087"/>
      <c r="U214" s="1087"/>
      <c r="V214" s="481"/>
      <c r="W214" s="1087"/>
      <c r="X214" s="1087"/>
      <c r="Y214" s="1087"/>
      <c r="Z214" s="1087"/>
      <c r="AA214" s="1087"/>
      <c r="AB214" s="1559"/>
      <c r="AC214" s="503"/>
      <c r="AD214" s="503"/>
      <c r="AE214" s="503"/>
      <c r="AF214" s="503"/>
      <c r="AG214" s="1568">
        <v>11</v>
      </c>
    </row>
    <row r="215" spans="1:33" s="1568" customFormat="1" ht="11.45" customHeight="1">
      <c r="A215" s="917"/>
      <c r="B215" s="1563"/>
      <c r="C215" s="1563"/>
      <c r="D215" s="288"/>
      <c r="L215" s="1087"/>
      <c r="M215" s="1563"/>
      <c r="N215" s="1563"/>
      <c r="O215" s="1087"/>
      <c r="P215" s="1087"/>
      <c r="Q215" s="1087"/>
      <c r="R215" s="1087"/>
      <c r="S215" s="1563"/>
      <c r="T215" s="1087"/>
      <c r="U215" s="1087"/>
      <c r="V215" s="481"/>
      <c r="W215" s="1087"/>
      <c r="X215" s="1087"/>
      <c r="Y215" s="1087"/>
      <c r="Z215" s="1087"/>
      <c r="AA215" s="1087"/>
      <c r="AB215" s="1559"/>
      <c r="AC215" s="503"/>
      <c r="AD215" s="503"/>
      <c r="AE215" s="503"/>
      <c r="AF215" s="503"/>
      <c r="AG215" s="1568">
        <v>11</v>
      </c>
    </row>
    <row r="216" spans="1:33" s="1568" customFormat="1" ht="11.45" customHeight="1">
      <c r="A216" s="917"/>
      <c r="B216" s="1563"/>
      <c r="C216" s="1563"/>
      <c r="D216" s="288"/>
      <c r="L216" s="1087"/>
      <c r="M216" s="1563"/>
      <c r="N216" s="1563"/>
      <c r="O216" s="1087"/>
      <c r="P216" s="1087"/>
      <c r="Q216" s="1087"/>
      <c r="R216" s="1087"/>
      <c r="S216" s="1563"/>
      <c r="T216" s="1087"/>
      <c r="U216" s="1087"/>
      <c r="V216" s="481"/>
      <c r="W216" s="1087"/>
      <c r="X216" s="1087"/>
      <c r="Y216" s="1087"/>
      <c r="Z216" s="1087"/>
      <c r="AA216" s="1087"/>
      <c r="AB216" s="1559"/>
      <c r="AC216" s="503"/>
      <c r="AD216" s="503"/>
      <c r="AE216" s="503"/>
      <c r="AF216" s="503"/>
      <c r="AG216" s="1568">
        <v>11</v>
      </c>
    </row>
    <row r="217" spans="1:33" s="1568" customFormat="1" ht="11.45" customHeight="1">
      <c r="A217" s="917"/>
      <c r="B217" s="1563"/>
      <c r="C217" s="1563"/>
      <c r="D217" s="288"/>
      <c r="L217" s="1087"/>
      <c r="M217" s="1563"/>
      <c r="N217" s="1563"/>
      <c r="O217" s="1087"/>
      <c r="P217" s="1087"/>
      <c r="Q217" s="1087"/>
      <c r="R217" s="1087"/>
      <c r="S217" s="1563"/>
      <c r="T217" s="1087"/>
      <c r="U217" s="1087"/>
      <c r="V217" s="481"/>
      <c r="W217" s="1087"/>
      <c r="X217" s="1087"/>
      <c r="Y217" s="1087"/>
      <c r="Z217" s="1087"/>
      <c r="AA217" s="1087"/>
      <c r="AB217" s="1559"/>
      <c r="AC217" s="503"/>
      <c r="AD217" s="503"/>
      <c r="AE217" s="503"/>
      <c r="AF217" s="503"/>
      <c r="AG217" s="1568">
        <v>11</v>
      </c>
    </row>
    <row r="218" spans="1:33" s="1568" customFormat="1" ht="11.45" customHeight="1">
      <c r="A218" s="917"/>
      <c r="B218" s="1563"/>
      <c r="C218" s="1563"/>
      <c r="D218" s="288"/>
      <c r="L218" s="1087"/>
      <c r="M218" s="1563"/>
      <c r="N218" s="1563"/>
      <c r="O218" s="1087"/>
      <c r="P218" s="1087"/>
      <c r="Q218" s="1087"/>
      <c r="R218" s="1087"/>
      <c r="S218" s="1563"/>
      <c r="T218" s="1087"/>
      <c r="U218" s="1087"/>
      <c r="V218" s="481"/>
      <c r="W218" s="1087"/>
      <c r="X218" s="1087"/>
      <c r="Y218" s="1087"/>
      <c r="Z218" s="1087"/>
      <c r="AA218" s="1087"/>
      <c r="AB218" s="1559"/>
      <c r="AC218" s="503"/>
      <c r="AD218" s="503"/>
      <c r="AE218" s="503"/>
      <c r="AF218" s="503"/>
      <c r="AG218" s="1568">
        <v>11</v>
      </c>
    </row>
    <row r="219" spans="1:33" s="1568" customFormat="1" ht="11.45" customHeight="1">
      <c r="A219" s="917"/>
      <c r="B219" s="1563"/>
      <c r="C219" s="1563"/>
      <c r="D219" s="288"/>
      <c r="L219" s="1087"/>
      <c r="M219" s="1563"/>
      <c r="N219" s="1563"/>
      <c r="O219" s="1087"/>
      <c r="P219" s="1087"/>
      <c r="Q219" s="1087"/>
      <c r="R219" s="1087"/>
      <c r="S219" s="1563"/>
      <c r="T219" s="1087"/>
      <c r="U219" s="1087"/>
      <c r="V219" s="481"/>
      <c r="W219" s="1087"/>
      <c r="X219" s="1087"/>
      <c r="Y219" s="1087"/>
      <c r="Z219" s="1087"/>
      <c r="AA219" s="1087"/>
      <c r="AB219" s="1559"/>
      <c r="AC219" s="503"/>
      <c r="AD219" s="503"/>
      <c r="AE219" s="503"/>
      <c r="AF219" s="503"/>
      <c r="AG219" s="1568">
        <v>11</v>
      </c>
    </row>
    <row r="220" spans="1:33" s="1568" customFormat="1" ht="11.45" customHeight="1">
      <c r="A220" s="917"/>
      <c r="B220" s="1563"/>
      <c r="C220" s="1563"/>
      <c r="D220" s="288"/>
      <c r="L220" s="1087"/>
      <c r="M220" s="1563"/>
      <c r="N220" s="1563"/>
      <c r="O220" s="1087"/>
      <c r="P220" s="1087"/>
      <c r="Q220" s="1087"/>
      <c r="R220" s="1087"/>
      <c r="S220" s="1563"/>
      <c r="T220" s="1087"/>
      <c r="U220" s="1087"/>
      <c r="V220" s="481"/>
      <c r="W220" s="1087"/>
      <c r="X220" s="1087"/>
      <c r="Y220" s="1087"/>
      <c r="Z220" s="1087"/>
      <c r="AA220" s="1087"/>
      <c r="AB220" s="1559"/>
      <c r="AC220" s="503"/>
      <c r="AD220" s="503"/>
      <c r="AE220" s="503"/>
      <c r="AF220" s="503"/>
      <c r="AG220" s="1568">
        <v>11</v>
      </c>
    </row>
    <row r="221" spans="1:33" s="1568" customFormat="1" ht="11.45" customHeight="1">
      <c r="A221" s="917"/>
      <c r="B221" s="1563"/>
      <c r="C221" s="1563"/>
      <c r="D221" s="288"/>
      <c r="L221" s="1087"/>
      <c r="M221" s="1563"/>
      <c r="N221" s="1563"/>
      <c r="O221" s="1087"/>
      <c r="P221" s="1087"/>
      <c r="Q221" s="1087"/>
      <c r="R221" s="1087"/>
      <c r="S221" s="1563"/>
      <c r="T221" s="1087"/>
      <c r="U221" s="1087"/>
      <c r="V221" s="481"/>
      <c r="W221" s="1087"/>
      <c r="X221" s="1087"/>
      <c r="Y221" s="1087"/>
      <c r="Z221" s="1087"/>
      <c r="AA221" s="1087"/>
      <c r="AB221" s="1559"/>
      <c r="AC221" s="503"/>
      <c r="AD221" s="503"/>
      <c r="AE221" s="503"/>
      <c r="AF221" s="503"/>
      <c r="AG221" s="1568">
        <v>11</v>
      </c>
    </row>
    <row r="222" spans="1:33" s="1568" customFormat="1" ht="11.45" customHeight="1">
      <c r="A222" s="917"/>
      <c r="B222" s="1563"/>
      <c r="C222" s="1563"/>
      <c r="D222" s="288"/>
      <c r="L222" s="1087"/>
      <c r="M222" s="1563"/>
      <c r="N222" s="1563"/>
      <c r="O222" s="1087"/>
      <c r="P222" s="1087"/>
      <c r="Q222" s="1087"/>
      <c r="R222" s="1087"/>
      <c r="S222" s="1563"/>
      <c r="T222" s="1087"/>
      <c r="U222" s="1087"/>
      <c r="V222" s="481"/>
      <c r="W222" s="1087"/>
      <c r="X222" s="1087"/>
      <c r="Y222" s="1087"/>
      <c r="Z222" s="1087"/>
      <c r="AA222" s="1087"/>
      <c r="AB222" s="1559"/>
      <c r="AC222" s="503"/>
      <c r="AD222" s="503"/>
      <c r="AE222" s="503"/>
      <c r="AF222" s="503"/>
      <c r="AG222" s="1568">
        <v>11</v>
      </c>
    </row>
    <row r="223" spans="1:33" s="1568" customFormat="1" ht="11.45" customHeight="1">
      <c r="A223" s="917"/>
      <c r="B223" s="1563"/>
      <c r="C223" s="1563"/>
      <c r="D223" s="288"/>
      <c r="L223" s="1087"/>
      <c r="M223" s="1563"/>
      <c r="N223" s="1563"/>
      <c r="O223" s="1087"/>
      <c r="P223" s="1087"/>
      <c r="Q223" s="1087"/>
      <c r="R223" s="1087"/>
      <c r="S223" s="1563"/>
      <c r="T223" s="1087"/>
      <c r="U223" s="1087"/>
      <c r="V223" s="481"/>
      <c r="W223" s="1087"/>
      <c r="X223" s="1087"/>
      <c r="Y223" s="1087"/>
      <c r="Z223" s="1087"/>
      <c r="AA223" s="1087"/>
      <c r="AB223" s="1559"/>
      <c r="AC223" s="503"/>
      <c r="AD223" s="503"/>
      <c r="AE223" s="503"/>
      <c r="AF223" s="503"/>
      <c r="AG223" s="1568">
        <v>11</v>
      </c>
    </row>
    <row r="224" spans="1:33" s="1568" customFormat="1" ht="11.45" customHeight="1">
      <c r="A224" s="917"/>
      <c r="B224" s="1563"/>
      <c r="C224" s="1563"/>
      <c r="D224" s="288"/>
      <c r="L224" s="1087"/>
      <c r="M224" s="1563"/>
      <c r="N224" s="1563"/>
      <c r="O224" s="1087"/>
      <c r="P224" s="1087"/>
      <c r="Q224" s="1087"/>
      <c r="R224" s="1087"/>
      <c r="S224" s="1563"/>
      <c r="T224" s="1087"/>
      <c r="U224" s="1087"/>
      <c r="V224" s="481"/>
      <c r="W224" s="1087"/>
      <c r="X224" s="1087"/>
      <c r="Y224" s="1087"/>
      <c r="Z224" s="1087"/>
      <c r="AA224" s="1087"/>
      <c r="AB224" s="1559"/>
      <c r="AC224" s="503"/>
      <c r="AD224" s="503"/>
      <c r="AE224" s="503"/>
      <c r="AF224" s="503"/>
      <c r="AG224" s="1568">
        <v>11</v>
      </c>
    </row>
    <row r="225" spans="1:33" s="1568" customFormat="1" ht="11.45" customHeight="1">
      <c r="A225" s="917"/>
      <c r="B225" s="1563"/>
      <c r="C225" s="1563"/>
      <c r="D225" s="288"/>
      <c r="L225" s="1087"/>
      <c r="M225" s="1563"/>
      <c r="N225" s="1563"/>
      <c r="O225" s="1087"/>
      <c r="P225" s="1087"/>
      <c r="Q225" s="1087"/>
      <c r="R225" s="1087"/>
      <c r="S225" s="1563"/>
      <c r="T225" s="1087"/>
      <c r="U225" s="1087"/>
      <c r="V225" s="481"/>
      <c r="W225" s="1087"/>
      <c r="X225" s="1087"/>
      <c r="Y225" s="1087"/>
      <c r="Z225" s="1087"/>
      <c r="AA225" s="1087"/>
      <c r="AB225" s="1559"/>
      <c r="AC225" s="503"/>
      <c r="AD225" s="503"/>
      <c r="AE225" s="503"/>
      <c r="AF225" s="503"/>
      <c r="AG225" s="1568">
        <v>11</v>
      </c>
    </row>
    <row r="226" spans="1:33" s="1568" customFormat="1" ht="11.45" customHeight="1">
      <c r="A226" s="917"/>
      <c r="B226" s="1563"/>
      <c r="C226" s="1563"/>
      <c r="D226" s="288"/>
      <c r="L226" s="1087"/>
      <c r="M226" s="1563"/>
      <c r="N226" s="1563"/>
      <c r="O226" s="1087"/>
      <c r="P226" s="1087"/>
      <c r="Q226" s="1087"/>
      <c r="R226" s="1087"/>
      <c r="S226" s="1563"/>
      <c r="T226" s="1087"/>
      <c r="U226" s="1087"/>
      <c r="V226" s="481"/>
      <c r="W226" s="1087"/>
      <c r="X226" s="1087"/>
      <c r="Y226" s="1087"/>
      <c r="Z226" s="1087"/>
      <c r="AA226" s="1087"/>
      <c r="AB226" s="1559"/>
      <c r="AC226" s="503"/>
      <c r="AD226" s="503"/>
      <c r="AE226" s="503"/>
      <c r="AF226" s="503"/>
      <c r="AG226" s="1568">
        <v>11</v>
      </c>
    </row>
    <row r="227" spans="1:33" s="1568" customFormat="1" ht="11.45" customHeight="1">
      <c r="A227" s="917"/>
      <c r="B227" s="1563"/>
      <c r="C227" s="1563"/>
      <c r="D227" s="288"/>
      <c r="L227" s="1087"/>
      <c r="M227" s="1563"/>
      <c r="N227" s="1563"/>
      <c r="O227" s="1087"/>
      <c r="P227" s="1087"/>
      <c r="Q227" s="1087"/>
      <c r="R227" s="1087"/>
      <c r="S227" s="1563"/>
      <c r="T227" s="1087"/>
      <c r="U227" s="1087"/>
      <c r="V227" s="481"/>
      <c r="W227" s="1087"/>
      <c r="X227" s="1087"/>
      <c r="Y227" s="1087"/>
      <c r="Z227" s="1087"/>
      <c r="AA227" s="1087"/>
      <c r="AB227" s="1559"/>
      <c r="AC227" s="503"/>
      <c r="AD227" s="503"/>
      <c r="AE227" s="503"/>
      <c r="AF227" s="503"/>
      <c r="AG227" s="1568">
        <v>11</v>
      </c>
    </row>
    <row r="228" spans="1:33" s="1568" customFormat="1" ht="11.45" customHeight="1">
      <c r="A228" s="917"/>
      <c r="B228" s="1563"/>
      <c r="C228" s="1563"/>
      <c r="D228" s="288"/>
      <c r="L228" s="1087"/>
      <c r="M228" s="1563"/>
      <c r="N228" s="1563"/>
      <c r="O228" s="1087"/>
      <c r="P228" s="1087"/>
      <c r="Q228" s="1087"/>
      <c r="R228" s="1087"/>
      <c r="S228" s="1563"/>
      <c r="T228" s="1087"/>
      <c r="U228" s="1087"/>
      <c r="V228" s="481"/>
      <c r="W228" s="1087"/>
      <c r="X228" s="1087"/>
      <c r="Y228" s="1087"/>
      <c r="Z228" s="1087"/>
      <c r="AA228" s="1087"/>
      <c r="AB228" s="1559"/>
      <c r="AC228" s="503"/>
      <c r="AD228" s="503"/>
      <c r="AE228" s="503"/>
      <c r="AF228" s="503"/>
      <c r="AG228" s="1568">
        <v>11</v>
      </c>
    </row>
    <row r="229" spans="1:33" s="1568" customFormat="1" ht="11.45" customHeight="1">
      <c r="A229" s="917"/>
      <c r="B229" s="1563"/>
      <c r="C229" s="1563"/>
      <c r="D229" s="288"/>
      <c r="L229" s="1087"/>
      <c r="M229" s="1563"/>
      <c r="N229" s="1563"/>
      <c r="O229" s="1087"/>
      <c r="P229" s="1087"/>
      <c r="Q229" s="1087"/>
      <c r="R229" s="1087"/>
      <c r="S229" s="1563"/>
      <c r="T229" s="1087"/>
      <c r="U229" s="1087"/>
      <c r="V229" s="481"/>
      <c r="W229" s="1087"/>
      <c r="X229" s="1087"/>
      <c r="Y229" s="1087"/>
      <c r="Z229" s="1087"/>
      <c r="AA229" s="1087"/>
      <c r="AB229" s="1559"/>
      <c r="AC229" s="503"/>
      <c r="AD229" s="503"/>
      <c r="AE229" s="503"/>
      <c r="AF229" s="503"/>
      <c r="AG229" s="1568">
        <v>11</v>
      </c>
    </row>
    <row r="230" spans="1:33" s="1568" customFormat="1" ht="11.45" customHeight="1">
      <c r="A230" s="917"/>
      <c r="B230" s="1563"/>
      <c r="C230" s="1563"/>
      <c r="D230" s="288"/>
      <c r="L230" s="1087"/>
      <c r="M230" s="1563"/>
      <c r="N230" s="1563"/>
      <c r="O230" s="1087"/>
      <c r="P230" s="1087"/>
      <c r="Q230" s="1087"/>
      <c r="R230" s="1087"/>
      <c r="S230" s="1563"/>
      <c r="T230" s="1087"/>
      <c r="U230" s="1087"/>
      <c r="V230" s="481"/>
      <c r="W230" s="1087"/>
      <c r="X230" s="1087"/>
      <c r="Y230" s="1087"/>
      <c r="Z230" s="1087"/>
      <c r="AA230" s="1087"/>
      <c r="AB230" s="1559"/>
      <c r="AC230" s="503"/>
      <c r="AD230" s="503"/>
      <c r="AE230" s="503"/>
      <c r="AF230" s="503"/>
      <c r="AG230" s="1568">
        <v>11</v>
      </c>
    </row>
    <row r="231" spans="1:33" s="1568" customFormat="1" ht="11.45" customHeight="1">
      <c r="A231" s="917"/>
      <c r="B231" s="1563"/>
      <c r="C231" s="1563"/>
      <c r="D231" s="288"/>
      <c r="L231" s="1087"/>
      <c r="M231" s="1563"/>
      <c r="N231" s="1563"/>
      <c r="O231" s="1087"/>
      <c r="P231" s="1087"/>
      <c r="Q231" s="1087"/>
      <c r="R231" s="1087"/>
      <c r="S231" s="1563"/>
      <c r="T231" s="1087"/>
      <c r="U231" s="1087"/>
      <c r="V231" s="481"/>
      <c r="W231" s="1087"/>
      <c r="X231" s="1087"/>
      <c r="Y231" s="1087"/>
      <c r="Z231" s="1087"/>
      <c r="AA231" s="1087"/>
      <c r="AB231" s="1559"/>
      <c r="AC231" s="503"/>
      <c r="AD231" s="503"/>
      <c r="AE231" s="503"/>
      <c r="AF231" s="503"/>
      <c r="AG231" s="1568">
        <v>11</v>
      </c>
    </row>
    <row r="232" spans="1:33" s="1568" customFormat="1" ht="11.45" customHeight="1">
      <c r="A232" s="917"/>
      <c r="B232" s="1563"/>
      <c r="C232" s="1563"/>
      <c r="D232" s="288"/>
      <c r="L232" s="1087"/>
      <c r="M232" s="1563"/>
      <c r="N232" s="1563"/>
      <c r="O232" s="1087"/>
      <c r="P232" s="1087"/>
      <c r="Q232" s="1087"/>
      <c r="R232" s="1087"/>
      <c r="S232" s="1563"/>
      <c r="T232" s="1087"/>
      <c r="U232" s="1087"/>
      <c r="V232" s="481"/>
      <c r="W232" s="1087"/>
      <c r="X232" s="1087"/>
      <c r="Y232" s="1087"/>
      <c r="Z232" s="1087"/>
      <c r="AA232" s="1087"/>
      <c r="AB232" s="1559"/>
      <c r="AC232" s="503"/>
      <c r="AD232" s="503"/>
      <c r="AE232" s="503"/>
      <c r="AF232" s="503"/>
      <c r="AG232" s="1568">
        <v>11</v>
      </c>
    </row>
    <row r="233" spans="1:33" s="1568" customFormat="1" ht="11.45" customHeight="1">
      <c r="A233" s="917"/>
      <c r="B233" s="1563"/>
      <c r="C233" s="1563"/>
      <c r="D233" s="288"/>
      <c r="L233" s="1087"/>
      <c r="M233" s="1563"/>
      <c r="N233" s="1563"/>
      <c r="O233" s="1087"/>
      <c r="P233" s="1087"/>
      <c r="Q233" s="1087"/>
      <c r="R233" s="1087"/>
      <c r="S233" s="1563"/>
      <c r="T233" s="1087"/>
      <c r="U233" s="1087"/>
      <c r="V233" s="481"/>
      <c r="W233" s="1087"/>
      <c r="X233" s="1087"/>
      <c r="Y233" s="1087"/>
      <c r="Z233" s="1087"/>
      <c r="AA233" s="1087"/>
      <c r="AB233" s="1559"/>
      <c r="AC233" s="503"/>
      <c r="AD233" s="503"/>
      <c r="AE233" s="503"/>
      <c r="AF233" s="503"/>
      <c r="AG233" s="1568">
        <v>11</v>
      </c>
    </row>
    <row r="234" spans="1:33" s="1568" customFormat="1" ht="11.45" customHeight="1">
      <c r="A234" s="917"/>
      <c r="B234" s="1563"/>
      <c r="C234" s="1563"/>
      <c r="D234" s="288"/>
      <c r="L234" s="1087"/>
      <c r="M234" s="1563"/>
      <c r="N234" s="1563"/>
      <c r="O234" s="1087"/>
      <c r="P234" s="1087"/>
      <c r="Q234" s="1087"/>
      <c r="R234" s="1087"/>
      <c r="S234" s="1563"/>
      <c r="T234" s="1087"/>
      <c r="U234" s="1087"/>
      <c r="V234" s="481"/>
      <c r="W234" s="1087"/>
      <c r="X234" s="1087"/>
      <c r="Y234" s="1087"/>
      <c r="Z234" s="1087"/>
      <c r="AA234" s="1087"/>
      <c r="AB234" s="1559"/>
      <c r="AC234" s="503"/>
      <c r="AD234" s="503"/>
      <c r="AE234" s="503"/>
      <c r="AF234" s="503"/>
      <c r="AG234" s="1568">
        <v>11</v>
      </c>
    </row>
    <row r="235" spans="1:33" s="1568" customFormat="1" ht="11.45" customHeight="1">
      <c r="A235" s="917"/>
      <c r="B235" s="1563"/>
      <c r="C235" s="1563"/>
      <c r="D235" s="288"/>
      <c r="L235" s="1087"/>
      <c r="M235" s="1563"/>
      <c r="N235" s="1563"/>
      <c r="O235" s="1087"/>
      <c r="P235" s="1087"/>
      <c r="Q235" s="1087"/>
      <c r="R235" s="1087"/>
      <c r="S235" s="1563"/>
      <c r="T235" s="1087"/>
      <c r="U235" s="1087"/>
      <c r="V235" s="481"/>
      <c r="W235" s="1087"/>
      <c r="X235" s="1087"/>
      <c r="Y235" s="1087"/>
      <c r="Z235" s="1087"/>
      <c r="AA235" s="1087"/>
      <c r="AB235" s="1559"/>
      <c r="AC235" s="503"/>
      <c r="AD235" s="503"/>
      <c r="AE235" s="503"/>
      <c r="AF235" s="503"/>
      <c r="AG235" s="1568">
        <v>11</v>
      </c>
    </row>
    <row r="236" spans="1:33" s="1568" customFormat="1" ht="11.45" customHeight="1">
      <c r="A236" s="917"/>
      <c r="B236" s="1563"/>
      <c r="C236" s="1563"/>
      <c r="D236" s="288"/>
      <c r="L236" s="1087"/>
      <c r="M236" s="1563"/>
      <c r="N236" s="1563"/>
      <c r="O236" s="1087"/>
      <c r="P236" s="1087"/>
      <c r="Q236" s="1087"/>
      <c r="R236" s="1087"/>
      <c r="S236" s="1563"/>
      <c r="T236" s="1087"/>
      <c r="U236" s="1087"/>
      <c r="V236" s="481"/>
      <c r="W236" s="1087"/>
      <c r="X236" s="1087"/>
      <c r="Y236" s="1087"/>
      <c r="Z236" s="1087"/>
      <c r="AA236" s="1087"/>
      <c r="AB236" s="1559"/>
      <c r="AC236" s="503"/>
      <c r="AD236" s="503"/>
      <c r="AE236" s="503"/>
      <c r="AF236" s="503"/>
      <c r="AG236" s="1568">
        <v>11</v>
      </c>
    </row>
    <row r="237" spans="1:33" s="1568" customFormat="1" ht="11.45" customHeight="1">
      <c r="A237" s="917"/>
      <c r="B237" s="1563"/>
      <c r="C237" s="1563"/>
      <c r="D237" s="288"/>
      <c r="L237" s="1087"/>
      <c r="M237" s="1563"/>
      <c r="N237" s="1563"/>
      <c r="O237" s="1087"/>
      <c r="P237" s="1087"/>
      <c r="Q237" s="1087"/>
      <c r="R237" s="1087"/>
      <c r="S237" s="1563"/>
      <c r="T237" s="1087"/>
      <c r="U237" s="1087"/>
      <c r="V237" s="481"/>
      <c r="W237" s="1087"/>
      <c r="X237" s="1087"/>
      <c r="Y237" s="1087"/>
      <c r="Z237" s="1087"/>
      <c r="AA237" s="1087"/>
      <c r="AB237" s="1559"/>
      <c r="AC237" s="503"/>
      <c r="AD237" s="503"/>
      <c r="AE237" s="503"/>
      <c r="AF237" s="503"/>
      <c r="AG237" s="1568">
        <v>11</v>
      </c>
    </row>
    <row r="238" spans="1:33" s="1568" customFormat="1" ht="11.45" customHeight="1">
      <c r="A238" s="917"/>
      <c r="B238" s="1563"/>
      <c r="C238" s="1563"/>
      <c r="D238" s="288"/>
      <c r="L238" s="1087"/>
      <c r="M238" s="1563"/>
      <c r="N238" s="1563"/>
      <c r="O238" s="1087"/>
      <c r="P238" s="1087"/>
      <c r="Q238" s="1087"/>
      <c r="R238" s="1087"/>
      <c r="S238" s="1563"/>
      <c r="T238" s="1087"/>
      <c r="U238" s="1087"/>
      <c r="V238" s="481"/>
      <c r="W238" s="1087"/>
      <c r="X238" s="1087"/>
      <c r="Y238" s="1087"/>
      <c r="Z238" s="1087"/>
      <c r="AA238" s="1087"/>
      <c r="AB238" s="1559"/>
      <c r="AC238" s="503"/>
      <c r="AD238" s="503"/>
      <c r="AE238" s="503"/>
      <c r="AF238" s="503"/>
      <c r="AG238" s="1568">
        <v>11</v>
      </c>
    </row>
    <row r="239" spans="1:33" s="1568" customFormat="1" ht="11.45" customHeight="1">
      <c r="A239" s="917"/>
      <c r="B239" s="1563"/>
      <c r="C239" s="1563"/>
      <c r="D239" s="288"/>
      <c r="L239" s="1087"/>
      <c r="M239" s="1563"/>
      <c r="N239" s="1563"/>
      <c r="O239" s="1087"/>
      <c r="P239" s="1087"/>
      <c r="Q239" s="1087"/>
      <c r="R239" s="1087"/>
      <c r="S239" s="1563"/>
      <c r="T239" s="1087"/>
      <c r="U239" s="1087"/>
      <c r="V239" s="481"/>
      <c r="W239" s="1087"/>
      <c r="X239" s="1087"/>
      <c r="Y239" s="1087"/>
      <c r="Z239" s="1087"/>
      <c r="AA239" s="1087"/>
      <c r="AB239" s="1559"/>
      <c r="AC239" s="503"/>
      <c r="AD239" s="503"/>
      <c r="AE239" s="503"/>
      <c r="AF239" s="503"/>
      <c r="AG239" s="1568">
        <v>11</v>
      </c>
    </row>
    <row r="240" spans="1:33" s="1568" customFormat="1" ht="11.45" customHeight="1">
      <c r="A240" s="917"/>
      <c r="B240" s="1563"/>
      <c r="C240" s="1563"/>
      <c r="D240" s="288"/>
      <c r="L240" s="1087"/>
      <c r="M240" s="1563"/>
      <c r="N240" s="1563"/>
      <c r="O240" s="1087"/>
      <c r="P240" s="1087"/>
      <c r="Q240" s="1087"/>
      <c r="R240" s="1087"/>
      <c r="S240" s="1563"/>
      <c r="T240" s="1087"/>
      <c r="U240" s="1087"/>
      <c r="V240" s="481"/>
      <c r="W240" s="1087"/>
      <c r="X240" s="1087"/>
      <c r="Y240" s="1087"/>
      <c r="Z240" s="1087"/>
      <c r="AA240" s="1087"/>
      <c r="AB240" s="1559"/>
      <c r="AC240" s="503"/>
      <c r="AD240" s="503"/>
      <c r="AE240" s="503"/>
      <c r="AF240" s="503"/>
      <c r="AG240" s="1568">
        <v>11</v>
      </c>
    </row>
    <row r="241" spans="1:33" s="1568" customFormat="1" ht="11.45" customHeight="1">
      <c r="A241" s="917"/>
      <c r="B241" s="1563"/>
      <c r="C241" s="1563"/>
      <c r="D241" s="288"/>
      <c r="L241" s="1087"/>
      <c r="M241" s="1563"/>
      <c r="N241" s="1563"/>
      <c r="O241" s="1087"/>
      <c r="P241" s="1087"/>
      <c r="Q241" s="1087"/>
      <c r="R241" s="1087"/>
      <c r="S241" s="1563"/>
      <c r="T241" s="1087"/>
      <c r="U241" s="1087"/>
      <c r="V241" s="481"/>
      <c r="W241" s="1087"/>
      <c r="X241" s="1087"/>
      <c r="Y241" s="1087"/>
      <c r="Z241" s="1087"/>
      <c r="AA241" s="1087"/>
      <c r="AB241" s="1559"/>
      <c r="AC241" s="503"/>
      <c r="AD241" s="503"/>
      <c r="AE241" s="503"/>
      <c r="AF241" s="503"/>
      <c r="AG241" s="1568">
        <v>11</v>
      </c>
    </row>
    <row r="242" spans="1:33" s="1568" customFormat="1" ht="11.45" customHeight="1">
      <c r="A242" s="917"/>
      <c r="B242" s="1563"/>
      <c r="C242" s="1563"/>
      <c r="D242" s="288"/>
      <c r="L242" s="1087"/>
      <c r="M242" s="1563"/>
      <c r="N242" s="1563"/>
      <c r="O242" s="1087"/>
      <c r="P242" s="1087"/>
      <c r="Q242" s="1087"/>
      <c r="R242" s="1087"/>
      <c r="S242" s="1563"/>
      <c r="T242" s="1087"/>
      <c r="U242" s="1087"/>
      <c r="V242" s="481"/>
      <c r="W242" s="1087"/>
      <c r="X242" s="1087"/>
      <c r="Y242" s="1087"/>
      <c r="Z242" s="1087"/>
      <c r="AA242" s="1087"/>
      <c r="AB242" s="1559"/>
      <c r="AC242" s="503"/>
      <c r="AD242" s="503"/>
      <c r="AE242" s="503"/>
      <c r="AF242" s="503"/>
      <c r="AG242" s="1568">
        <v>11</v>
      </c>
    </row>
    <row r="243" spans="1:33" s="1568" customFormat="1" ht="11.45" customHeight="1">
      <c r="A243" s="917"/>
      <c r="B243" s="1563"/>
      <c r="C243" s="1563"/>
      <c r="D243" s="288"/>
      <c r="L243" s="1087"/>
      <c r="M243" s="1563"/>
      <c r="N243" s="1563"/>
      <c r="O243" s="1087"/>
      <c r="P243" s="1087"/>
      <c r="Q243" s="1087"/>
      <c r="R243" s="1087"/>
      <c r="S243" s="1563"/>
      <c r="T243" s="1087"/>
      <c r="U243" s="1087"/>
      <c r="V243" s="481"/>
      <c r="W243" s="1087"/>
      <c r="X243" s="1087"/>
      <c r="Y243" s="1087"/>
      <c r="Z243" s="1087"/>
      <c r="AA243" s="1087"/>
      <c r="AB243" s="1559"/>
      <c r="AC243" s="503"/>
      <c r="AD243" s="503"/>
      <c r="AE243" s="503"/>
      <c r="AF243" s="503"/>
      <c r="AG243" s="1568">
        <v>11</v>
      </c>
    </row>
    <row r="244" spans="1:33" s="1568" customFormat="1" ht="11.45" customHeight="1">
      <c r="A244" s="917"/>
      <c r="B244" s="1563"/>
      <c r="C244" s="1563"/>
      <c r="D244" s="288"/>
      <c r="L244" s="1087"/>
      <c r="M244" s="1563"/>
      <c r="N244" s="1563"/>
      <c r="O244" s="1087"/>
      <c r="P244" s="1087"/>
      <c r="Q244" s="1087"/>
      <c r="R244" s="1087"/>
      <c r="S244" s="1563"/>
      <c r="T244" s="1087"/>
      <c r="U244" s="1087"/>
      <c r="V244" s="481"/>
      <c r="W244" s="1087"/>
      <c r="X244" s="1087"/>
      <c r="Y244" s="1087"/>
      <c r="Z244" s="1087"/>
      <c r="AA244" s="1087"/>
      <c r="AB244" s="1559"/>
      <c r="AC244" s="503"/>
      <c r="AD244" s="503"/>
      <c r="AE244" s="503"/>
      <c r="AF244" s="503"/>
      <c r="AG244" s="1568">
        <v>11</v>
      </c>
    </row>
    <row r="245" spans="1:33" s="1568" customFormat="1" ht="11.45" customHeight="1">
      <c r="A245" s="917"/>
      <c r="B245" s="1563"/>
      <c r="C245" s="1563"/>
      <c r="D245" s="288"/>
      <c r="L245" s="1087"/>
      <c r="M245" s="1563"/>
      <c r="N245" s="1563"/>
      <c r="O245" s="1087"/>
      <c r="P245" s="1087"/>
      <c r="Q245" s="1087"/>
      <c r="R245" s="1087"/>
      <c r="S245" s="1563"/>
      <c r="T245" s="1087"/>
      <c r="U245" s="1087"/>
      <c r="V245" s="481"/>
      <c r="W245" s="1087"/>
      <c r="X245" s="1087"/>
      <c r="Y245" s="1087"/>
      <c r="Z245" s="1087"/>
      <c r="AA245" s="1087"/>
      <c r="AB245" s="1559"/>
      <c r="AC245" s="503"/>
      <c r="AD245" s="503"/>
      <c r="AE245" s="503"/>
      <c r="AF245" s="503"/>
      <c r="AG245" s="1568">
        <v>11</v>
      </c>
    </row>
    <row r="246" spans="1:33" s="1568" customFormat="1" ht="11.45" customHeight="1">
      <c r="A246" s="917"/>
      <c r="B246" s="1563"/>
      <c r="C246" s="1563"/>
      <c r="D246" s="288"/>
      <c r="L246" s="1087"/>
      <c r="M246" s="1563"/>
      <c r="N246" s="1563"/>
      <c r="O246" s="1087"/>
      <c r="P246" s="1087"/>
      <c r="Q246" s="1087"/>
      <c r="R246" s="1087"/>
      <c r="S246" s="1563"/>
      <c r="T246" s="1087"/>
      <c r="U246" s="1087"/>
      <c r="V246" s="481"/>
      <c r="W246" s="1087"/>
      <c r="X246" s="1087"/>
      <c r="Y246" s="1087"/>
      <c r="Z246" s="1087"/>
      <c r="AA246" s="1087"/>
      <c r="AB246" s="1559"/>
      <c r="AC246" s="503"/>
      <c r="AD246" s="503"/>
      <c r="AE246" s="503"/>
      <c r="AF246" s="503"/>
      <c r="AG246" s="1568">
        <v>11</v>
      </c>
    </row>
    <row r="247" spans="1:33" s="1568" customFormat="1" ht="11.45" customHeight="1">
      <c r="A247" s="917"/>
      <c r="B247" s="1563"/>
      <c r="C247" s="1563"/>
      <c r="D247" s="288"/>
      <c r="L247" s="1087"/>
      <c r="M247" s="1563"/>
      <c r="N247" s="1563"/>
      <c r="O247" s="1087"/>
      <c r="P247" s="1087"/>
      <c r="Q247" s="1087"/>
      <c r="R247" s="1087"/>
      <c r="S247" s="1563"/>
      <c r="T247" s="1087"/>
      <c r="U247" s="1087"/>
      <c r="V247" s="481"/>
      <c r="W247" s="1087"/>
      <c r="X247" s="1087"/>
      <c r="Y247" s="1087"/>
      <c r="Z247" s="1087"/>
      <c r="AA247" s="1087"/>
      <c r="AB247" s="1559"/>
      <c r="AC247" s="503"/>
      <c r="AD247" s="503"/>
      <c r="AE247" s="503"/>
      <c r="AF247" s="503"/>
      <c r="AG247" s="1568">
        <v>11</v>
      </c>
    </row>
    <row r="248" spans="1:33" s="1568" customFormat="1" ht="11.45" customHeight="1">
      <c r="A248" s="917"/>
      <c r="B248" s="1563"/>
      <c r="C248" s="1563"/>
      <c r="D248" s="288"/>
      <c r="L248" s="1087"/>
      <c r="M248" s="1563"/>
      <c r="N248" s="1563"/>
      <c r="O248" s="1087"/>
      <c r="P248" s="1087"/>
      <c r="Q248" s="1087"/>
      <c r="R248" s="1087"/>
      <c r="S248" s="1563"/>
      <c r="T248" s="1087"/>
      <c r="U248" s="1087"/>
      <c r="V248" s="481"/>
      <c r="W248" s="1087"/>
      <c r="X248" s="1087"/>
      <c r="Y248" s="1087"/>
      <c r="Z248" s="1087"/>
      <c r="AA248" s="1087"/>
      <c r="AB248" s="1559"/>
      <c r="AC248" s="503"/>
      <c r="AD248" s="503"/>
      <c r="AE248" s="503"/>
      <c r="AF248" s="503"/>
      <c r="AG248" s="1568">
        <v>11</v>
      </c>
    </row>
    <row r="249" spans="1:33" s="1568" customFormat="1" ht="11.45" customHeight="1">
      <c r="A249" s="917"/>
      <c r="B249" s="1563"/>
      <c r="C249" s="1563"/>
      <c r="D249" s="288"/>
      <c r="L249" s="1087"/>
      <c r="M249" s="1563"/>
      <c r="N249" s="1563"/>
      <c r="O249" s="1087"/>
      <c r="P249" s="1087"/>
      <c r="Q249" s="1087"/>
      <c r="R249" s="1087"/>
      <c r="S249" s="1563"/>
      <c r="T249" s="1087"/>
      <c r="U249" s="1087"/>
      <c r="V249" s="481"/>
      <c r="W249" s="1087"/>
      <c r="X249" s="1087"/>
      <c r="Y249" s="1087"/>
      <c r="Z249" s="1087"/>
      <c r="AA249" s="1087"/>
      <c r="AB249" s="1559"/>
      <c r="AC249" s="503"/>
      <c r="AD249" s="503"/>
      <c r="AE249" s="503"/>
      <c r="AF249" s="503"/>
      <c r="AG249" s="1568">
        <v>11</v>
      </c>
    </row>
    <row r="250" spans="1:33" s="1568" customFormat="1" ht="11.45" customHeight="1">
      <c r="A250" s="917"/>
      <c r="B250" s="1563"/>
      <c r="C250" s="1563"/>
      <c r="D250" s="288"/>
      <c r="L250" s="1087"/>
      <c r="M250" s="1563"/>
      <c r="N250" s="1563"/>
      <c r="O250" s="1087"/>
      <c r="P250" s="1087"/>
      <c r="Q250" s="1087"/>
      <c r="R250" s="1087"/>
      <c r="S250" s="1563"/>
      <c r="T250" s="1087"/>
      <c r="U250" s="1087"/>
      <c r="V250" s="481"/>
      <c r="W250" s="1087"/>
      <c r="X250" s="1087"/>
      <c r="Y250" s="1087"/>
      <c r="Z250" s="1087"/>
      <c r="AA250" s="1087"/>
      <c r="AB250" s="1559"/>
      <c r="AC250" s="503"/>
      <c r="AD250" s="503"/>
      <c r="AE250" s="503"/>
      <c r="AF250" s="503"/>
      <c r="AG250" s="1568">
        <v>11</v>
      </c>
    </row>
    <row r="251" spans="1:33" s="1568" customFormat="1" ht="11.45" customHeight="1">
      <c r="A251" s="917"/>
      <c r="B251" s="1563"/>
      <c r="C251" s="1563"/>
      <c r="D251" s="288"/>
      <c r="L251" s="1087"/>
      <c r="M251" s="1563"/>
      <c r="N251" s="1563"/>
      <c r="O251" s="1087"/>
      <c r="P251" s="1087"/>
      <c r="Q251" s="1087"/>
      <c r="R251" s="1087"/>
      <c r="S251" s="1563"/>
      <c r="T251" s="1087"/>
      <c r="U251" s="1087"/>
      <c r="V251" s="481"/>
      <c r="W251" s="1087"/>
      <c r="X251" s="1087"/>
      <c r="Y251" s="1087"/>
      <c r="Z251" s="1087"/>
      <c r="AA251" s="1087"/>
      <c r="AB251" s="1559"/>
      <c r="AC251" s="503"/>
      <c r="AD251" s="503"/>
      <c r="AE251" s="503"/>
      <c r="AF251" s="503"/>
      <c r="AG251" s="1568">
        <v>11</v>
      </c>
    </row>
    <row r="252" spans="1:33" s="1568" customFormat="1" ht="11.45" customHeight="1">
      <c r="A252" s="917"/>
      <c r="B252" s="1563"/>
      <c r="C252" s="1563"/>
      <c r="D252" s="288"/>
      <c r="L252" s="1087"/>
      <c r="M252" s="1563"/>
      <c r="N252" s="1563"/>
      <c r="O252" s="1087"/>
      <c r="P252" s="1087"/>
      <c r="Q252" s="1087"/>
      <c r="R252" s="1087"/>
      <c r="S252" s="1563"/>
      <c r="T252" s="1087"/>
      <c r="U252" s="1087"/>
      <c r="V252" s="481"/>
      <c r="W252" s="1087"/>
      <c r="X252" s="1087"/>
      <c r="Y252" s="1087"/>
      <c r="Z252" s="1087"/>
      <c r="AA252" s="1087"/>
      <c r="AB252" s="1559"/>
      <c r="AC252" s="503"/>
      <c r="AD252" s="503"/>
      <c r="AE252" s="503"/>
      <c r="AF252" s="503"/>
      <c r="AG252" s="1568">
        <v>11</v>
      </c>
    </row>
    <row r="253" spans="1:33" s="1568" customFormat="1" ht="11.45" customHeight="1">
      <c r="A253" s="917"/>
      <c r="B253" s="1563"/>
      <c r="C253" s="1563"/>
      <c r="D253" s="288"/>
      <c r="L253" s="1087"/>
      <c r="M253" s="1563"/>
      <c r="N253" s="1563"/>
      <c r="O253" s="1087"/>
      <c r="P253" s="1087"/>
      <c r="Q253" s="1087"/>
      <c r="R253" s="1087"/>
      <c r="S253" s="1563"/>
      <c r="T253" s="1087"/>
      <c r="U253" s="1087"/>
      <c r="V253" s="481"/>
      <c r="W253" s="1087"/>
      <c r="X253" s="1087"/>
      <c r="Y253" s="1087"/>
      <c r="Z253" s="1087"/>
      <c r="AA253" s="1087"/>
      <c r="AB253" s="1559"/>
      <c r="AC253" s="503"/>
      <c r="AD253" s="503"/>
      <c r="AE253" s="503"/>
      <c r="AF253" s="503"/>
      <c r="AG253" s="1568">
        <v>11</v>
      </c>
    </row>
    <row r="254" spans="1:33" s="1568" customFormat="1" ht="11.45" customHeight="1">
      <c r="A254" s="917"/>
      <c r="B254" s="1563"/>
      <c r="C254" s="1563"/>
      <c r="D254" s="288"/>
      <c r="L254" s="1087"/>
      <c r="M254" s="1563"/>
      <c r="N254" s="1563"/>
      <c r="O254" s="1087"/>
      <c r="P254" s="1087"/>
      <c r="Q254" s="1087"/>
      <c r="R254" s="1087"/>
      <c r="S254" s="1563"/>
      <c r="T254" s="1087"/>
      <c r="U254" s="1087"/>
      <c r="V254" s="481"/>
      <c r="W254" s="1087"/>
      <c r="X254" s="1087"/>
      <c r="Y254" s="1087"/>
      <c r="Z254" s="1087"/>
      <c r="AA254" s="1087"/>
      <c r="AB254" s="1559"/>
      <c r="AC254" s="503"/>
      <c r="AD254" s="503"/>
      <c r="AE254" s="503"/>
      <c r="AF254" s="503"/>
      <c r="AG254" s="1568">
        <v>11</v>
      </c>
    </row>
    <row r="255" spans="1:33" s="1568" customFormat="1" ht="11.45" customHeight="1">
      <c r="A255" s="917"/>
      <c r="B255" s="1563"/>
      <c r="C255" s="1563"/>
      <c r="D255" s="288"/>
      <c r="L255" s="1087"/>
      <c r="M255" s="1563"/>
      <c r="N255" s="1563"/>
      <c r="O255" s="1087"/>
      <c r="P255" s="1087"/>
      <c r="Q255" s="1087"/>
      <c r="R255" s="1087"/>
      <c r="S255" s="1563"/>
      <c r="T255" s="1087"/>
      <c r="U255" s="1087"/>
      <c r="V255" s="481"/>
      <c r="W255" s="1087"/>
      <c r="X255" s="1087"/>
      <c r="Y255" s="1087"/>
      <c r="Z255" s="1087"/>
      <c r="AA255" s="1087"/>
      <c r="AB255" s="1559"/>
      <c r="AC255" s="503"/>
      <c r="AD255" s="503"/>
      <c r="AE255" s="503"/>
      <c r="AF255" s="503"/>
      <c r="AG255" s="1568">
        <v>11</v>
      </c>
    </row>
    <row r="256" spans="1:33" s="1568" customFormat="1" ht="11.45" customHeight="1">
      <c r="A256" s="917"/>
      <c r="B256" s="1563"/>
      <c r="C256" s="1563"/>
      <c r="D256" s="288"/>
      <c r="L256" s="1087"/>
      <c r="M256" s="1563"/>
      <c r="N256" s="1563"/>
      <c r="O256" s="1087"/>
      <c r="P256" s="1087"/>
      <c r="Q256" s="1087"/>
      <c r="R256" s="1087"/>
      <c r="S256" s="1563"/>
      <c r="T256" s="1087"/>
      <c r="U256" s="1087"/>
      <c r="V256" s="481"/>
      <c r="W256" s="1087"/>
      <c r="X256" s="1087"/>
      <c r="Y256" s="1087"/>
      <c r="Z256" s="1087"/>
      <c r="AA256" s="1087"/>
      <c r="AB256" s="1559"/>
      <c r="AC256" s="503"/>
      <c r="AD256" s="503"/>
      <c r="AE256" s="503"/>
      <c r="AF256" s="503"/>
      <c r="AG256" s="1568">
        <v>11</v>
      </c>
    </row>
    <row r="257" spans="1:33" s="1568" customFormat="1" ht="11.45" customHeight="1">
      <c r="A257" s="917"/>
      <c r="B257" s="1563"/>
      <c r="C257" s="1563"/>
      <c r="D257" s="288"/>
      <c r="L257" s="1087"/>
      <c r="M257" s="1563"/>
      <c r="N257" s="1563"/>
      <c r="O257" s="1087"/>
      <c r="P257" s="1087"/>
      <c r="Q257" s="1087"/>
      <c r="R257" s="1087"/>
      <c r="S257" s="1563"/>
      <c r="T257" s="1087"/>
      <c r="U257" s="1087"/>
      <c r="V257" s="481"/>
      <c r="W257" s="1087"/>
      <c r="X257" s="1087"/>
      <c r="Y257" s="1087"/>
      <c r="Z257" s="1087"/>
      <c r="AA257" s="1087"/>
      <c r="AB257" s="1559"/>
      <c r="AC257" s="503"/>
      <c r="AD257" s="503"/>
      <c r="AE257" s="503"/>
      <c r="AF257" s="503"/>
      <c r="AG257" s="1568">
        <v>11</v>
      </c>
    </row>
    <row r="258" spans="1:33" s="1568" customFormat="1" ht="11.45" customHeight="1">
      <c r="A258" s="917"/>
      <c r="B258" s="1563"/>
      <c r="C258" s="1563"/>
      <c r="D258" s="288"/>
      <c r="L258" s="1087"/>
      <c r="M258" s="1563"/>
      <c r="N258" s="1563"/>
      <c r="O258" s="1087"/>
      <c r="P258" s="1087"/>
      <c r="Q258" s="1087"/>
      <c r="R258" s="1087"/>
      <c r="S258" s="1563"/>
      <c r="T258" s="1087"/>
      <c r="U258" s="1087"/>
      <c r="V258" s="481"/>
      <c r="W258" s="1087"/>
      <c r="X258" s="1087"/>
      <c r="Y258" s="1087"/>
      <c r="Z258" s="1087"/>
      <c r="AA258" s="1087"/>
      <c r="AB258" s="1559"/>
      <c r="AC258" s="503"/>
      <c r="AD258" s="503"/>
      <c r="AE258" s="503"/>
      <c r="AF258" s="503"/>
      <c r="AG258" s="1568">
        <v>11</v>
      </c>
    </row>
    <row r="259" spans="1:33" s="1568" customFormat="1" ht="11.45" customHeight="1">
      <c r="A259" s="917"/>
      <c r="B259" s="1563"/>
      <c r="C259" s="1563"/>
      <c r="D259" s="288"/>
      <c r="L259" s="1087"/>
      <c r="M259" s="1563"/>
      <c r="N259" s="1563"/>
      <c r="O259" s="1087"/>
      <c r="P259" s="1087"/>
      <c r="Q259" s="1087"/>
      <c r="R259" s="1087"/>
      <c r="S259" s="1563"/>
      <c r="T259" s="1087"/>
      <c r="U259" s="1087"/>
      <c r="V259" s="481"/>
      <c r="W259" s="1087"/>
      <c r="X259" s="1087"/>
      <c r="Y259" s="1087"/>
      <c r="Z259" s="1087"/>
      <c r="AA259" s="1087"/>
      <c r="AB259" s="1559"/>
      <c r="AC259" s="503"/>
      <c r="AD259" s="503"/>
      <c r="AE259" s="503"/>
      <c r="AF259" s="503"/>
      <c r="AG259" s="1568">
        <v>11</v>
      </c>
    </row>
    <row r="260" spans="1:33" s="1568" customFormat="1" ht="11.45" customHeight="1">
      <c r="A260" s="917"/>
      <c r="B260" s="1563"/>
      <c r="C260" s="1563"/>
      <c r="D260" s="288"/>
      <c r="L260" s="1087"/>
      <c r="M260" s="1563"/>
      <c r="N260" s="1563"/>
      <c r="O260" s="1087"/>
      <c r="P260" s="1087"/>
      <c r="Q260" s="1087"/>
      <c r="R260" s="1087"/>
      <c r="S260" s="1563"/>
      <c r="T260" s="1087"/>
      <c r="U260" s="1087"/>
      <c r="V260" s="481"/>
      <c r="W260" s="1087"/>
      <c r="X260" s="1087"/>
      <c r="Y260" s="1087"/>
      <c r="Z260" s="1087"/>
      <c r="AA260" s="1087"/>
      <c r="AB260" s="1559"/>
      <c r="AC260" s="503"/>
      <c r="AD260" s="503"/>
      <c r="AE260" s="503"/>
      <c r="AF260" s="503"/>
      <c r="AG260" s="1568">
        <v>11</v>
      </c>
    </row>
    <row r="261" spans="1:33" s="1568" customFormat="1" ht="11.45" customHeight="1">
      <c r="A261" s="917"/>
      <c r="B261" s="1563"/>
      <c r="C261" s="1563"/>
      <c r="D261" s="288"/>
      <c r="L261" s="1087"/>
      <c r="M261" s="1563"/>
      <c r="N261" s="1563"/>
      <c r="O261" s="1087"/>
      <c r="P261" s="1087"/>
      <c r="Q261" s="1087"/>
      <c r="R261" s="1087"/>
      <c r="S261" s="1563"/>
      <c r="T261" s="1087"/>
      <c r="U261" s="1087"/>
      <c r="V261" s="481"/>
      <c r="W261" s="1087"/>
      <c r="X261" s="1087"/>
      <c r="Y261" s="1087"/>
      <c r="Z261" s="1087"/>
      <c r="AA261" s="1087"/>
      <c r="AB261" s="1559"/>
      <c r="AC261" s="503"/>
      <c r="AD261" s="503"/>
      <c r="AE261" s="503"/>
      <c r="AF261" s="503"/>
      <c r="AG261" s="1568">
        <v>11</v>
      </c>
    </row>
    <row r="262" spans="1:33" s="1568" customFormat="1" ht="11.45" customHeight="1">
      <c r="A262" s="917"/>
      <c r="B262" s="1563"/>
      <c r="C262" s="1563"/>
      <c r="D262" s="288"/>
      <c r="L262" s="1087"/>
      <c r="M262" s="1563"/>
      <c r="N262" s="1563"/>
      <c r="O262" s="1087"/>
      <c r="P262" s="1087"/>
      <c r="Q262" s="1087"/>
      <c r="R262" s="1087"/>
      <c r="S262" s="1563"/>
      <c r="T262" s="1087"/>
      <c r="U262" s="1087"/>
      <c r="V262" s="481"/>
      <c r="W262" s="1087"/>
      <c r="X262" s="1087"/>
      <c r="Y262" s="1087"/>
      <c r="Z262" s="1087"/>
      <c r="AA262" s="1087"/>
      <c r="AB262" s="1559"/>
      <c r="AC262" s="503"/>
      <c r="AD262" s="503"/>
      <c r="AE262" s="503"/>
      <c r="AF262" s="503"/>
      <c r="AG262" s="1568">
        <v>11</v>
      </c>
    </row>
    <row r="263" spans="1:33" s="1568" customFormat="1" ht="11.45" customHeight="1">
      <c r="A263" s="917"/>
      <c r="B263" s="1563"/>
      <c r="C263" s="1563"/>
      <c r="D263" s="288"/>
      <c r="L263" s="1087"/>
      <c r="M263" s="1563"/>
      <c r="N263" s="1563"/>
      <c r="O263" s="1087"/>
      <c r="P263" s="1087"/>
      <c r="Q263" s="1087"/>
      <c r="R263" s="1087"/>
      <c r="S263" s="1563"/>
      <c r="T263" s="1087"/>
      <c r="U263" s="1087"/>
      <c r="V263" s="481"/>
      <c r="W263" s="1087"/>
      <c r="X263" s="1087"/>
      <c r="Y263" s="1087"/>
      <c r="Z263" s="1087"/>
      <c r="AA263" s="1087"/>
      <c r="AB263" s="1559"/>
      <c r="AC263" s="503"/>
      <c r="AD263" s="503"/>
      <c r="AE263" s="503"/>
      <c r="AF263" s="503"/>
      <c r="AG263" s="1568">
        <v>11</v>
      </c>
    </row>
    <row r="264" spans="1:33" s="1568" customFormat="1" ht="11.45" customHeight="1">
      <c r="A264" s="917"/>
      <c r="B264" s="1563"/>
      <c r="C264" s="1563"/>
      <c r="D264" s="288"/>
      <c r="L264" s="1087"/>
      <c r="M264" s="1563"/>
      <c r="N264" s="1563"/>
      <c r="O264" s="1087"/>
      <c r="P264" s="1087"/>
      <c r="Q264" s="1087"/>
      <c r="R264" s="1087"/>
      <c r="S264" s="1563"/>
      <c r="T264" s="1087"/>
      <c r="U264" s="1087"/>
      <c r="V264" s="481"/>
      <c r="W264" s="1087"/>
      <c r="X264" s="1087"/>
      <c r="Y264" s="1087"/>
      <c r="Z264" s="1087"/>
      <c r="AA264" s="1087"/>
      <c r="AB264" s="1559"/>
      <c r="AC264" s="503"/>
      <c r="AD264" s="503"/>
      <c r="AE264" s="503"/>
      <c r="AF264" s="503"/>
      <c r="AG264" s="1568">
        <v>11</v>
      </c>
    </row>
    <row r="265" spans="1:33" s="1568" customFormat="1" ht="11.45" customHeight="1">
      <c r="A265" s="917"/>
      <c r="B265" s="1563"/>
      <c r="C265" s="1563"/>
      <c r="D265" s="288"/>
      <c r="L265" s="1087"/>
      <c r="M265" s="1563"/>
      <c r="N265" s="1563"/>
      <c r="O265" s="1087"/>
      <c r="P265" s="1087"/>
      <c r="Q265" s="1087"/>
      <c r="R265" s="1087"/>
      <c r="S265" s="1563"/>
      <c r="T265" s="1087"/>
      <c r="U265" s="1087"/>
      <c r="V265" s="481"/>
      <c r="W265" s="1087"/>
      <c r="X265" s="1087"/>
      <c r="Y265" s="1087"/>
      <c r="Z265" s="1087"/>
      <c r="AA265" s="1087"/>
      <c r="AB265" s="1559"/>
      <c r="AC265" s="503"/>
      <c r="AD265" s="503"/>
      <c r="AE265" s="503"/>
      <c r="AF265" s="503"/>
      <c r="AG265" s="1568">
        <v>11</v>
      </c>
    </row>
    <row r="266" spans="1:33" s="1568" customFormat="1" ht="11.45" customHeight="1">
      <c r="A266" s="917"/>
      <c r="B266" s="1563"/>
      <c r="C266" s="1563"/>
      <c r="D266" s="288"/>
      <c r="L266" s="1087"/>
      <c r="M266" s="1563"/>
      <c r="N266" s="1563"/>
      <c r="O266" s="1087"/>
      <c r="P266" s="1087"/>
      <c r="Q266" s="1087"/>
      <c r="R266" s="1087"/>
      <c r="S266" s="1563"/>
      <c r="T266" s="1087"/>
      <c r="U266" s="1087"/>
      <c r="V266" s="481"/>
      <c r="W266" s="1087"/>
      <c r="X266" s="1087"/>
      <c r="Y266" s="1087"/>
      <c r="Z266" s="1087"/>
      <c r="AA266" s="1087"/>
      <c r="AB266" s="1559"/>
      <c r="AC266" s="503"/>
      <c r="AD266" s="503"/>
      <c r="AE266" s="503"/>
      <c r="AF266" s="503"/>
      <c r="AG266" s="1568">
        <v>11</v>
      </c>
    </row>
    <row r="267" spans="1:33" s="1568" customFormat="1" ht="11.45" customHeight="1">
      <c r="A267" s="917"/>
      <c r="B267" s="1563"/>
      <c r="C267" s="1563"/>
      <c r="D267" s="288"/>
      <c r="L267" s="1087"/>
      <c r="M267" s="1563"/>
      <c r="N267" s="1563"/>
      <c r="O267" s="1087"/>
      <c r="P267" s="1087"/>
      <c r="Q267" s="1087"/>
      <c r="R267" s="1087"/>
      <c r="S267" s="1563"/>
      <c r="T267" s="1087"/>
      <c r="U267" s="1087"/>
      <c r="V267" s="481"/>
      <c r="W267" s="1087"/>
      <c r="X267" s="1087"/>
      <c r="Y267" s="1087"/>
      <c r="Z267" s="1087"/>
      <c r="AA267" s="1087"/>
      <c r="AB267" s="1559"/>
      <c r="AC267" s="503"/>
      <c r="AD267" s="503"/>
      <c r="AE267" s="503"/>
      <c r="AF267" s="503"/>
      <c r="AG267" s="1568">
        <v>11</v>
      </c>
    </row>
    <row r="268" spans="1:33" s="1568" customFormat="1" ht="11.45" customHeight="1">
      <c r="A268" s="917"/>
      <c r="B268" s="1563"/>
      <c r="C268" s="1563"/>
      <c r="D268" s="288"/>
      <c r="L268" s="1087"/>
      <c r="M268" s="1563"/>
      <c r="N268" s="1563"/>
      <c r="O268" s="1087"/>
      <c r="P268" s="1087"/>
      <c r="Q268" s="1087"/>
      <c r="R268" s="1087"/>
      <c r="S268" s="1563"/>
      <c r="T268" s="1087"/>
      <c r="U268" s="1087"/>
      <c r="V268" s="481"/>
      <c r="W268" s="1087"/>
      <c r="X268" s="1087"/>
      <c r="Y268" s="1087"/>
      <c r="Z268" s="1087"/>
      <c r="AA268" s="1087"/>
      <c r="AB268" s="1559"/>
      <c r="AC268" s="503"/>
      <c r="AD268" s="503"/>
      <c r="AE268" s="503"/>
      <c r="AF268" s="503"/>
      <c r="AG268" s="1568">
        <v>11</v>
      </c>
    </row>
    <row r="269" spans="1:33" s="1568" customFormat="1" ht="11.45" customHeight="1">
      <c r="A269" s="917"/>
      <c r="B269" s="1563"/>
      <c r="C269" s="1563"/>
      <c r="D269" s="288"/>
      <c r="L269" s="1087"/>
      <c r="M269" s="1563"/>
      <c r="N269" s="1563"/>
      <c r="O269" s="1087"/>
      <c r="P269" s="1087"/>
      <c r="Q269" s="1087"/>
      <c r="R269" s="1087"/>
      <c r="S269" s="1563"/>
      <c r="T269" s="1087"/>
      <c r="U269" s="1087"/>
      <c r="V269" s="481"/>
      <c r="W269" s="1087"/>
      <c r="X269" s="1087"/>
      <c r="Y269" s="1087"/>
      <c r="Z269" s="1087"/>
      <c r="AA269" s="1087"/>
      <c r="AB269" s="1559"/>
      <c r="AC269" s="503"/>
      <c r="AD269" s="503"/>
      <c r="AE269" s="503"/>
      <c r="AF269" s="503"/>
      <c r="AG269" s="1568">
        <v>11</v>
      </c>
    </row>
    <row r="270" spans="1:33" s="1568" customFormat="1" ht="11.45" customHeight="1">
      <c r="A270" s="917"/>
      <c r="B270" s="1563"/>
      <c r="C270" s="1563"/>
      <c r="D270" s="288"/>
      <c r="L270" s="1087"/>
      <c r="M270" s="1563"/>
      <c r="N270" s="1563"/>
      <c r="O270" s="1087"/>
      <c r="P270" s="1087"/>
      <c r="Q270" s="1087"/>
      <c r="R270" s="1087"/>
      <c r="S270" s="1563"/>
      <c r="T270" s="1087"/>
      <c r="U270" s="1087"/>
      <c r="V270" s="481"/>
      <c r="W270" s="1087"/>
      <c r="X270" s="1087"/>
      <c r="Y270" s="1087"/>
      <c r="Z270" s="1087"/>
      <c r="AA270" s="1087"/>
      <c r="AB270" s="1559"/>
      <c r="AC270" s="503"/>
      <c r="AD270" s="503"/>
      <c r="AE270" s="503"/>
      <c r="AF270" s="503"/>
      <c r="AG270" s="1568">
        <v>11</v>
      </c>
    </row>
    <row r="271" spans="1:33" s="1568" customFormat="1" ht="11.45" customHeight="1">
      <c r="A271" s="917"/>
      <c r="B271" s="1563"/>
      <c r="C271" s="1563"/>
      <c r="D271" s="288"/>
      <c r="L271" s="1087"/>
      <c r="M271" s="1563"/>
      <c r="N271" s="1563"/>
      <c r="O271" s="1087"/>
      <c r="P271" s="1087"/>
      <c r="Q271" s="1087"/>
      <c r="R271" s="1087"/>
      <c r="S271" s="1563"/>
      <c r="T271" s="1087"/>
      <c r="U271" s="1087"/>
      <c r="V271" s="481"/>
      <c r="W271" s="1087"/>
      <c r="X271" s="1087"/>
      <c r="Y271" s="1087"/>
      <c r="Z271" s="1087"/>
      <c r="AA271" s="1087"/>
      <c r="AB271" s="1559"/>
      <c r="AC271" s="503"/>
      <c r="AD271" s="503"/>
      <c r="AE271" s="503"/>
      <c r="AF271" s="503"/>
      <c r="AG271" s="1568">
        <v>11</v>
      </c>
    </row>
    <row r="272" spans="1:33" s="1568" customFormat="1" ht="11.45" customHeight="1">
      <c r="A272" s="917"/>
      <c r="B272" s="1563"/>
      <c r="C272" s="1563"/>
      <c r="D272" s="288"/>
      <c r="L272" s="1087"/>
      <c r="M272" s="1563"/>
      <c r="N272" s="1563"/>
      <c r="O272" s="1087"/>
      <c r="P272" s="1087"/>
      <c r="Q272" s="1087"/>
      <c r="R272" s="1087"/>
      <c r="S272" s="1563"/>
      <c r="T272" s="1087"/>
      <c r="U272" s="1087"/>
      <c r="V272" s="481"/>
      <c r="W272" s="1087"/>
      <c r="X272" s="1087"/>
      <c r="Y272" s="1087"/>
      <c r="Z272" s="1087"/>
      <c r="AA272" s="1087"/>
      <c r="AB272" s="1559"/>
      <c r="AC272" s="503"/>
      <c r="AD272" s="503"/>
      <c r="AE272" s="503"/>
      <c r="AF272" s="503"/>
      <c r="AG272" s="1568">
        <v>11</v>
      </c>
    </row>
    <row r="273" spans="1:33" s="1568" customFormat="1" ht="11.45" customHeight="1">
      <c r="A273" s="917"/>
      <c r="B273" s="1563"/>
      <c r="C273" s="1563"/>
      <c r="D273" s="288"/>
      <c r="L273" s="1087"/>
      <c r="M273" s="1563"/>
      <c r="N273" s="1563"/>
      <c r="O273" s="1087"/>
      <c r="P273" s="1087"/>
      <c r="Q273" s="1087"/>
      <c r="R273" s="1087"/>
      <c r="S273" s="1563"/>
      <c r="T273" s="1087"/>
      <c r="U273" s="1087"/>
      <c r="V273" s="481"/>
      <c r="W273" s="1087"/>
      <c r="X273" s="1087"/>
      <c r="Y273" s="1087"/>
      <c r="Z273" s="1087"/>
      <c r="AA273" s="1087"/>
      <c r="AB273" s="1559"/>
      <c r="AC273" s="503"/>
      <c r="AD273" s="503"/>
      <c r="AE273" s="503"/>
      <c r="AF273" s="503"/>
      <c r="AG273" s="1568">
        <v>11</v>
      </c>
    </row>
    <row r="274" spans="1:33" s="1568" customFormat="1" ht="11.45" customHeight="1">
      <c r="A274" s="917"/>
      <c r="B274" s="1563"/>
      <c r="C274" s="1563"/>
      <c r="D274" s="288"/>
      <c r="L274" s="1087"/>
      <c r="M274" s="1563"/>
      <c r="N274" s="1563"/>
      <c r="O274" s="1087"/>
      <c r="P274" s="1087"/>
      <c r="Q274" s="1087"/>
      <c r="R274" s="1087"/>
      <c r="S274" s="1563"/>
      <c r="T274" s="1087"/>
      <c r="U274" s="1087"/>
      <c r="V274" s="481"/>
      <c r="W274" s="1087"/>
      <c r="X274" s="1087"/>
      <c r="Y274" s="1087"/>
      <c r="Z274" s="1087"/>
      <c r="AA274" s="1087"/>
      <c r="AB274" s="1559"/>
      <c r="AC274" s="503"/>
      <c r="AD274" s="503"/>
      <c r="AE274" s="503"/>
      <c r="AF274" s="503"/>
      <c r="AG274" s="1568">
        <v>11</v>
      </c>
    </row>
    <row r="275" spans="1:33" s="1568" customFormat="1" ht="11.45" customHeight="1">
      <c r="A275" s="917"/>
      <c r="B275" s="1563"/>
      <c r="C275" s="1563"/>
      <c r="D275" s="288"/>
      <c r="L275" s="1087"/>
      <c r="M275" s="1563"/>
      <c r="N275" s="1563"/>
      <c r="O275" s="1087"/>
      <c r="P275" s="1087"/>
      <c r="Q275" s="1087"/>
      <c r="R275" s="1087"/>
      <c r="S275" s="1563"/>
      <c r="T275" s="1087"/>
      <c r="U275" s="1087"/>
      <c r="V275" s="481"/>
      <c r="W275" s="1087"/>
      <c r="X275" s="1087"/>
      <c r="Y275" s="1087"/>
      <c r="Z275" s="1087"/>
      <c r="AA275" s="1087"/>
      <c r="AB275" s="1559"/>
      <c r="AC275" s="503"/>
      <c r="AD275" s="503"/>
      <c r="AE275" s="503"/>
      <c r="AF275" s="503"/>
      <c r="AG275" s="1568">
        <v>11</v>
      </c>
    </row>
    <row r="276" spans="1:33" s="1568" customFormat="1" ht="11.45" customHeight="1">
      <c r="A276" s="917"/>
      <c r="B276" s="1563"/>
      <c r="C276" s="1563"/>
      <c r="D276" s="288"/>
      <c r="L276" s="1087"/>
      <c r="M276" s="1563"/>
      <c r="N276" s="1563"/>
      <c r="O276" s="1087"/>
      <c r="P276" s="1087"/>
      <c r="Q276" s="1087"/>
      <c r="R276" s="1087"/>
      <c r="S276" s="1563"/>
      <c r="T276" s="1087"/>
      <c r="U276" s="1087"/>
      <c r="V276" s="481"/>
      <c r="W276" s="1087"/>
      <c r="X276" s="1087"/>
      <c r="Y276" s="1087"/>
      <c r="Z276" s="1087"/>
      <c r="AA276" s="1087"/>
      <c r="AB276" s="1559"/>
      <c r="AC276" s="503"/>
      <c r="AD276" s="503"/>
      <c r="AE276" s="503"/>
      <c r="AF276" s="503"/>
      <c r="AG276" s="1568">
        <v>11</v>
      </c>
    </row>
    <row r="277" spans="1:33" s="1568" customFormat="1" ht="11.45" customHeight="1">
      <c r="A277" s="917"/>
      <c r="B277" s="1563"/>
      <c r="C277" s="1563"/>
      <c r="D277" s="288"/>
      <c r="L277" s="1087"/>
      <c r="M277" s="1563"/>
      <c r="N277" s="1563"/>
      <c r="O277" s="1087"/>
      <c r="P277" s="1087"/>
      <c r="Q277" s="1087"/>
      <c r="R277" s="1087"/>
      <c r="S277" s="1563"/>
      <c r="T277" s="1087"/>
      <c r="U277" s="1087"/>
      <c r="V277" s="481"/>
      <c r="W277" s="1087"/>
      <c r="X277" s="1087"/>
      <c r="Y277" s="1087"/>
      <c r="Z277" s="1087"/>
      <c r="AA277" s="1087"/>
      <c r="AB277" s="1559"/>
      <c r="AC277" s="503"/>
      <c r="AD277" s="503"/>
      <c r="AE277" s="503"/>
      <c r="AF277" s="503"/>
      <c r="AG277" s="1568">
        <v>11</v>
      </c>
    </row>
    <row r="278" spans="1:33" s="1568" customFormat="1" ht="11.45" customHeight="1">
      <c r="A278" s="917"/>
      <c r="B278" s="1563"/>
      <c r="C278" s="1563"/>
      <c r="D278" s="288"/>
      <c r="L278" s="1087"/>
      <c r="M278" s="1563"/>
      <c r="N278" s="1563"/>
      <c r="O278" s="1087"/>
      <c r="P278" s="1087"/>
      <c r="Q278" s="1087"/>
      <c r="R278" s="1087"/>
      <c r="S278" s="1563"/>
      <c r="T278" s="1087"/>
      <c r="U278" s="1087"/>
      <c r="V278" s="481"/>
      <c r="W278" s="1087"/>
      <c r="X278" s="1087"/>
      <c r="Y278" s="1087"/>
      <c r="Z278" s="1087"/>
      <c r="AA278" s="1087"/>
      <c r="AB278" s="1559"/>
      <c r="AC278" s="503"/>
      <c r="AD278" s="503"/>
      <c r="AE278" s="503"/>
      <c r="AF278" s="503"/>
      <c r="AG278" s="1568">
        <v>11</v>
      </c>
    </row>
    <row r="279" spans="1:33" s="1568" customFormat="1" ht="11.45" customHeight="1">
      <c r="A279" s="917"/>
      <c r="B279" s="1563"/>
      <c r="C279" s="1563"/>
      <c r="D279" s="288"/>
      <c r="L279" s="1087"/>
      <c r="M279" s="1563"/>
      <c r="N279" s="1563"/>
      <c r="O279" s="1087"/>
      <c r="P279" s="1087"/>
      <c r="Q279" s="1087"/>
      <c r="R279" s="1087"/>
      <c r="S279" s="1563"/>
      <c r="T279" s="1087"/>
      <c r="U279" s="1087"/>
      <c r="V279" s="481"/>
      <c r="W279" s="1087"/>
      <c r="X279" s="1087"/>
      <c r="Y279" s="1087"/>
      <c r="Z279" s="1087"/>
      <c r="AA279" s="1087"/>
      <c r="AB279" s="1559"/>
      <c r="AC279" s="503"/>
      <c r="AD279" s="503"/>
      <c r="AE279" s="503"/>
      <c r="AF279" s="503"/>
      <c r="AG279" s="1568">
        <v>11</v>
      </c>
    </row>
    <row r="280" spans="1:33" s="1568" customFormat="1" ht="11.45" customHeight="1">
      <c r="A280" s="917"/>
      <c r="B280" s="1563"/>
      <c r="C280" s="1563"/>
      <c r="D280" s="288"/>
      <c r="L280" s="1087"/>
      <c r="M280" s="1563"/>
      <c r="N280" s="1563"/>
      <c r="O280" s="1087"/>
      <c r="P280" s="1087"/>
      <c r="Q280" s="1087"/>
      <c r="R280" s="1087"/>
      <c r="S280" s="1563"/>
      <c r="T280" s="1087"/>
      <c r="U280" s="1087"/>
      <c r="V280" s="481"/>
      <c r="W280" s="1087"/>
      <c r="X280" s="1087"/>
      <c r="Y280" s="1087"/>
      <c r="Z280" s="1087"/>
      <c r="AA280" s="1087"/>
      <c r="AB280" s="1559"/>
      <c r="AC280" s="503"/>
      <c r="AD280" s="503"/>
      <c r="AE280" s="503"/>
      <c r="AF280" s="503"/>
      <c r="AG280" s="1568">
        <v>11</v>
      </c>
    </row>
    <row r="281" spans="1:33" s="1568" customFormat="1" ht="11.45" customHeight="1">
      <c r="A281" s="917"/>
      <c r="B281" s="1563"/>
      <c r="C281" s="1563"/>
      <c r="D281" s="288"/>
      <c r="L281" s="1087"/>
      <c r="M281" s="1563"/>
      <c r="N281" s="1563"/>
      <c r="O281" s="1087"/>
      <c r="P281" s="1087"/>
      <c r="Q281" s="1087"/>
      <c r="R281" s="1087"/>
      <c r="S281" s="1563"/>
      <c r="T281" s="1087"/>
      <c r="U281" s="1087"/>
      <c r="V281" s="481"/>
      <c r="W281" s="1087"/>
      <c r="X281" s="1087"/>
      <c r="Y281" s="1087"/>
      <c r="Z281" s="1087"/>
      <c r="AA281" s="1087"/>
      <c r="AB281" s="1559"/>
      <c r="AC281" s="503"/>
      <c r="AD281" s="503"/>
      <c r="AE281" s="503"/>
      <c r="AF281" s="503"/>
      <c r="AG281" s="1568">
        <v>11</v>
      </c>
    </row>
    <row r="282" spans="1:33" s="1568" customFormat="1" ht="11.45" customHeight="1">
      <c r="A282" s="917"/>
      <c r="B282" s="1563"/>
      <c r="C282" s="1563"/>
      <c r="D282" s="288"/>
      <c r="L282" s="1087"/>
      <c r="M282" s="1563"/>
      <c r="N282" s="1563"/>
      <c r="O282" s="1087"/>
      <c r="P282" s="1087"/>
      <c r="Q282" s="1087"/>
      <c r="R282" s="1087"/>
      <c r="S282" s="1563"/>
      <c r="T282" s="1087"/>
      <c r="U282" s="1087"/>
      <c r="V282" s="481"/>
      <c r="W282" s="1087"/>
      <c r="X282" s="1087"/>
      <c r="Y282" s="1087"/>
      <c r="Z282" s="1087"/>
      <c r="AA282" s="1087"/>
      <c r="AB282" s="1559"/>
      <c r="AC282" s="503"/>
      <c r="AD282" s="503"/>
      <c r="AE282" s="503"/>
      <c r="AF282" s="503"/>
      <c r="AG282" s="1568">
        <v>11</v>
      </c>
    </row>
    <row r="283" spans="1:33" s="1568" customFormat="1" ht="11.45" customHeight="1">
      <c r="A283" s="917"/>
      <c r="B283" s="1563"/>
      <c r="C283" s="1563"/>
      <c r="D283" s="288"/>
      <c r="L283" s="1087"/>
      <c r="M283" s="1563"/>
      <c r="N283" s="1563"/>
      <c r="O283" s="1087"/>
      <c r="P283" s="1087"/>
      <c r="Q283" s="1087"/>
      <c r="R283" s="1087"/>
      <c r="S283" s="1563"/>
      <c r="T283" s="1087"/>
      <c r="U283" s="1087"/>
      <c r="V283" s="481"/>
      <c r="W283" s="1087"/>
      <c r="X283" s="1087"/>
      <c r="Y283" s="1087"/>
      <c r="Z283" s="1087"/>
      <c r="AA283" s="1087"/>
      <c r="AB283" s="1559"/>
      <c r="AC283" s="503"/>
      <c r="AD283" s="503"/>
      <c r="AE283" s="503"/>
      <c r="AF283" s="503"/>
      <c r="AG283" s="1568">
        <v>11</v>
      </c>
    </row>
    <row r="284" spans="1:33" s="1568" customFormat="1" ht="11.45" customHeight="1">
      <c r="A284" s="917"/>
      <c r="B284" s="1563"/>
      <c r="C284" s="1563"/>
      <c r="D284" s="288"/>
      <c r="L284" s="1087"/>
      <c r="M284" s="1563"/>
      <c r="N284" s="1563"/>
      <c r="O284" s="1087"/>
      <c r="P284" s="1087"/>
      <c r="Q284" s="1087"/>
      <c r="R284" s="1087"/>
      <c r="S284" s="1563"/>
      <c r="T284" s="1087"/>
      <c r="U284" s="1087"/>
      <c r="V284" s="481"/>
      <c r="W284" s="1087"/>
      <c r="X284" s="1087"/>
      <c r="Y284" s="1087"/>
      <c r="Z284" s="1087"/>
      <c r="AA284" s="1087"/>
      <c r="AB284" s="1559"/>
      <c r="AC284" s="503"/>
      <c r="AD284" s="503"/>
      <c r="AE284" s="503"/>
      <c r="AF284" s="503"/>
      <c r="AG284" s="1568">
        <v>11</v>
      </c>
    </row>
    <row r="285" spans="1:33" s="1568" customFormat="1" ht="11.45" customHeight="1">
      <c r="A285" s="917"/>
      <c r="B285" s="1563"/>
      <c r="C285" s="1563"/>
      <c r="D285" s="288"/>
      <c r="L285" s="1087"/>
      <c r="M285" s="1563"/>
      <c r="N285" s="1563"/>
      <c r="O285" s="1087"/>
      <c r="P285" s="1087"/>
      <c r="Q285" s="1087"/>
      <c r="R285" s="1087"/>
      <c r="S285" s="1563"/>
      <c r="T285" s="1087"/>
      <c r="U285" s="1087"/>
      <c r="V285" s="481"/>
      <c r="W285" s="1087"/>
      <c r="X285" s="1087"/>
      <c r="Y285" s="1087"/>
      <c r="Z285" s="1087"/>
      <c r="AA285" s="1087"/>
      <c r="AB285" s="1559"/>
      <c r="AC285" s="503"/>
      <c r="AD285" s="503"/>
      <c r="AE285" s="503"/>
      <c r="AF285" s="503"/>
      <c r="AG285" s="1568">
        <v>11</v>
      </c>
    </row>
    <row r="286" spans="1:33" s="1568" customFormat="1" ht="11.45" customHeight="1">
      <c r="A286" s="917"/>
      <c r="B286" s="1563"/>
      <c r="C286" s="1563"/>
      <c r="D286" s="288"/>
      <c r="L286" s="1087"/>
      <c r="M286" s="1563"/>
      <c r="N286" s="1563"/>
      <c r="O286" s="1087"/>
      <c r="P286" s="1087"/>
      <c r="Q286" s="1087"/>
      <c r="R286" s="1087"/>
      <c r="S286" s="1563"/>
      <c r="T286" s="1087"/>
      <c r="U286" s="1087"/>
      <c r="V286" s="481"/>
      <c r="W286" s="1087"/>
      <c r="X286" s="1087"/>
      <c r="Y286" s="1087"/>
      <c r="Z286" s="1087"/>
      <c r="AA286" s="1087"/>
      <c r="AB286" s="1559"/>
      <c r="AC286" s="503"/>
      <c r="AD286" s="503"/>
      <c r="AE286" s="503"/>
      <c r="AF286" s="503"/>
      <c r="AG286" s="1568">
        <v>11</v>
      </c>
    </row>
    <row r="287" spans="1:33" s="1568" customFormat="1" ht="11.45" customHeight="1">
      <c r="A287" s="917"/>
      <c r="B287" s="1563"/>
      <c r="C287" s="1563"/>
      <c r="D287" s="288"/>
      <c r="L287" s="1087"/>
      <c r="M287" s="1563"/>
      <c r="N287" s="1563"/>
      <c r="O287" s="1087"/>
      <c r="P287" s="1087"/>
      <c r="Q287" s="1087"/>
      <c r="R287" s="1087"/>
      <c r="S287" s="1563"/>
      <c r="T287" s="1087"/>
      <c r="U287" s="1087"/>
      <c r="V287" s="481"/>
      <c r="W287" s="1087"/>
      <c r="X287" s="1087"/>
      <c r="Y287" s="1087"/>
      <c r="Z287" s="1087"/>
      <c r="AA287" s="1087"/>
      <c r="AB287" s="1559"/>
      <c r="AC287" s="503"/>
      <c r="AD287" s="503"/>
      <c r="AE287" s="503"/>
      <c r="AF287" s="503"/>
      <c r="AG287" s="1568">
        <v>11</v>
      </c>
    </row>
    <row r="288" spans="1:33" s="1568" customFormat="1" ht="11.45" customHeight="1">
      <c r="A288" s="917"/>
      <c r="B288" s="1563"/>
      <c r="C288" s="1563"/>
      <c r="D288" s="288"/>
      <c r="L288" s="1087"/>
      <c r="M288" s="1563"/>
      <c r="N288" s="1563"/>
      <c r="O288" s="1087"/>
      <c r="P288" s="1087"/>
      <c r="Q288" s="1087"/>
      <c r="R288" s="1087"/>
      <c r="S288" s="1563"/>
      <c r="T288" s="1087"/>
      <c r="U288" s="1087"/>
      <c r="V288" s="481"/>
      <c r="W288" s="1087"/>
      <c r="X288" s="1087"/>
      <c r="Y288" s="1087"/>
      <c r="Z288" s="1087"/>
      <c r="AA288" s="1087"/>
      <c r="AB288" s="1559"/>
      <c r="AC288" s="503"/>
      <c r="AD288" s="503"/>
      <c r="AE288" s="503"/>
      <c r="AF288" s="503"/>
      <c r="AG288" s="1568">
        <v>11</v>
      </c>
    </row>
    <row r="289" spans="1:33" ht="11.45" customHeight="1">
      <c r="AG289" s="1558">
        <v>11</v>
      </c>
    </row>
    <row r="290" spans="1:33" ht="11.45" customHeight="1">
      <c r="AG290" s="1558">
        <v>11</v>
      </c>
    </row>
    <row r="291" spans="1:33" ht="11.45" customHeight="1">
      <c r="AG291" s="1558">
        <v>11</v>
      </c>
    </row>
    <row r="292" spans="1:33" ht="11.45" customHeight="1">
      <c r="A292" s="920"/>
      <c r="B292" s="1558"/>
      <c r="D292" s="1558"/>
      <c r="L292" s="1558"/>
      <c r="O292" s="1558"/>
      <c r="P292" s="1558"/>
      <c r="Q292" s="1558"/>
      <c r="R292" s="1558"/>
      <c r="T292" s="1558"/>
      <c r="U292" s="1558"/>
      <c r="V292" s="1558"/>
      <c r="W292" s="1558"/>
      <c r="X292" s="1558"/>
      <c r="Y292" s="1558"/>
      <c r="Z292" s="1558"/>
      <c r="AA292" s="1558"/>
      <c r="AB292" s="1558"/>
      <c r="AC292" s="1558"/>
      <c r="AD292" s="1558"/>
      <c r="AE292" s="1558"/>
      <c r="AF292" s="1558"/>
      <c r="AG292" s="1558">
        <v>11</v>
      </c>
    </row>
    <row r="293" spans="1:33" ht="11.45" customHeight="1">
      <c r="A293" s="920"/>
      <c r="B293" s="1558"/>
      <c r="D293" s="1558"/>
      <c r="L293" s="1558"/>
      <c r="O293" s="1558"/>
      <c r="P293" s="1558"/>
      <c r="Q293" s="1558"/>
      <c r="R293" s="1558"/>
      <c r="T293" s="1558"/>
      <c r="U293" s="1558"/>
      <c r="V293" s="1558"/>
      <c r="W293" s="1558"/>
      <c r="X293" s="1558"/>
      <c r="Y293" s="1558"/>
      <c r="Z293" s="1558"/>
      <c r="AA293" s="1558"/>
      <c r="AB293" s="1558"/>
      <c r="AC293" s="1558"/>
      <c r="AD293" s="1558"/>
      <c r="AE293" s="1558"/>
      <c r="AF293" s="1558"/>
      <c r="AG293" s="1558">
        <v>11</v>
      </c>
    </row>
    <row r="294" spans="1:33" ht="11.45" customHeight="1">
      <c r="A294" s="920"/>
      <c r="B294" s="1558"/>
      <c r="D294" s="1558"/>
      <c r="L294" s="1558"/>
      <c r="O294" s="1558"/>
      <c r="P294" s="1558"/>
      <c r="Q294" s="1558"/>
      <c r="R294" s="1558"/>
      <c r="T294" s="1558"/>
      <c r="U294" s="1558"/>
      <c r="V294" s="1558"/>
      <c r="W294" s="1558"/>
      <c r="X294" s="1558"/>
      <c r="Y294" s="1558"/>
      <c r="Z294" s="1558"/>
      <c r="AA294" s="1558"/>
      <c r="AB294" s="1558"/>
      <c r="AC294" s="1558"/>
      <c r="AD294" s="1558"/>
      <c r="AE294" s="1558"/>
      <c r="AF294" s="1558"/>
      <c r="AG294" s="1558">
        <v>11</v>
      </c>
    </row>
    <row r="295" spans="1:33" ht="11.45" customHeight="1">
      <c r="A295" s="920"/>
      <c r="B295" s="1558"/>
      <c r="D295" s="1558"/>
      <c r="L295" s="1558"/>
      <c r="O295" s="1558"/>
      <c r="P295" s="1558"/>
      <c r="Q295" s="1558"/>
      <c r="R295" s="1558"/>
      <c r="T295" s="1558"/>
      <c r="U295" s="1558"/>
      <c r="V295" s="1558"/>
      <c r="W295" s="1558"/>
      <c r="X295" s="1558"/>
      <c r="Y295" s="1558"/>
      <c r="Z295" s="1558"/>
      <c r="AA295" s="1558"/>
      <c r="AB295" s="1558"/>
      <c r="AC295" s="1558"/>
      <c r="AD295" s="1558"/>
      <c r="AE295" s="1558"/>
      <c r="AF295" s="1558"/>
      <c r="AG295" s="1558">
        <v>11</v>
      </c>
    </row>
    <row r="296" spans="1:33" ht="11.45" customHeight="1">
      <c r="A296" s="920"/>
      <c r="B296" s="1558"/>
      <c r="D296" s="1558"/>
      <c r="L296" s="1558"/>
      <c r="O296" s="1558"/>
      <c r="P296" s="1558"/>
      <c r="Q296" s="1558"/>
      <c r="R296" s="1558"/>
      <c r="T296" s="1558"/>
      <c r="U296" s="1558"/>
      <c r="V296" s="1558"/>
      <c r="W296" s="1558"/>
      <c r="X296" s="1558"/>
      <c r="Y296" s="1558"/>
      <c r="Z296" s="1558"/>
      <c r="AA296" s="1558"/>
      <c r="AB296" s="1558"/>
      <c r="AC296" s="1558"/>
      <c r="AD296" s="1558"/>
      <c r="AE296" s="1558"/>
      <c r="AF296" s="1558"/>
      <c r="AG296" s="1558">
        <v>11</v>
      </c>
    </row>
    <row r="297" spans="1:33" ht="11.45" customHeight="1">
      <c r="A297" s="920"/>
      <c r="B297" s="1558"/>
      <c r="D297" s="1558"/>
      <c r="L297" s="1558"/>
      <c r="O297" s="1558"/>
      <c r="P297" s="1558"/>
      <c r="Q297" s="1558"/>
      <c r="R297" s="1558"/>
      <c r="T297" s="1558"/>
      <c r="U297" s="1558"/>
      <c r="V297" s="1558"/>
      <c r="W297" s="1558"/>
      <c r="X297" s="1558"/>
      <c r="Y297" s="1558"/>
      <c r="Z297" s="1558"/>
      <c r="AA297" s="1558"/>
      <c r="AB297" s="1558"/>
      <c r="AC297" s="1558"/>
      <c r="AD297" s="1558"/>
      <c r="AE297" s="1558"/>
      <c r="AF297" s="1558"/>
      <c r="AG297" s="1558">
        <v>11</v>
      </c>
    </row>
    <row r="298" spans="1:33" ht="11.45" customHeight="1">
      <c r="A298" s="920"/>
      <c r="B298" s="1558"/>
      <c r="D298" s="1558"/>
      <c r="L298" s="1558"/>
      <c r="O298" s="1558"/>
      <c r="P298" s="1558"/>
      <c r="Q298" s="1558"/>
      <c r="R298" s="1558"/>
      <c r="T298" s="1558"/>
      <c r="U298" s="1558"/>
      <c r="V298" s="1558"/>
      <c r="W298" s="1558"/>
      <c r="X298" s="1558"/>
      <c r="Y298" s="1558"/>
      <c r="Z298" s="1558"/>
      <c r="AA298" s="1558"/>
      <c r="AB298" s="1558"/>
      <c r="AC298" s="1558"/>
      <c r="AD298" s="1558"/>
      <c r="AE298" s="1558"/>
      <c r="AF298" s="1558"/>
      <c r="AG298" s="1558">
        <v>11</v>
      </c>
    </row>
    <row r="299" spans="1:33" ht="11.45" customHeight="1">
      <c r="A299" s="920"/>
      <c r="B299" s="1558"/>
      <c r="D299" s="1558"/>
      <c r="L299" s="1558"/>
      <c r="O299" s="1558"/>
      <c r="P299" s="1558"/>
      <c r="Q299" s="1558"/>
      <c r="R299" s="1558"/>
      <c r="T299" s="1558"/>
      <c r="U299" s="1558"/>
      <c r="V299" s="1558"/>
      <c r="W299" s="1558"/>
      <c r="X299" s="1558"/>
      <c r="Y299" s="1558"/>
      <c r="Z299" s="1558"/>
      <c r="AA299" s="1558"/>
      <c r="AB299" s="1558"/>
      <c r="AC299" s="1558"/>
      <c r="AD299" s="1558"/>
      <c r="AE299" s="1558"/>
      <c r="AF299" s="1558"/>
      <c r="AG299" s="1558">
        <v>11</v>
      </c>
    </row>
    <row r="300" spans="1:33" ht="11.45" customHeight="1">
      <c r="A300" s="920"/>
      <c r="B300" s="1558"/>
      <c r="D300" s="1558"/>
      <c r="L300" s="1558"/>
      <c r="O300" s="1558"/>
      <c r="P300" s="1558"/>
      <c r="Q300" s="1558"/>
      <c r="R300" s="1558"/>
      <c r="T300" s="1558"/>
      <c r="U300" s="1558"/>
      <c r="V300" s="1558"/>
      <c r="W300" s="1558"/>
      <c r="X300" s="1558"/>
      <c r="Y300" s="1558"/>
      <c r="Z300" s="1558"/>
      <c r="AA300" s="1558"/>
      <c r="AB300" s="1558"/>
      <c r="AC300" s="1558"/>
      <c r="AD300" s="1558"/>
      <c r="AE300" s="1558"/>
      <c r="AF300" s="1558"/>
      <c r="AG300" s="1558">
        <v>11</v>
      </c>
    </row>
    <row r="301" spans="1:33" ht="11.45" customHeight="1">
      <c r="A301" s="920"/>
      <c r="B301" s="1558"/>
      <c r="D301" s="1558"/>
      <c r="L301" s="1558"/>
      <c r="O301" s="1558"/>
      <c r="P301" s="1558"/>
      <c r="Q301" s="1558"/>
      <c r="R301" s="1558"/>
      <c r="T301" s="1558"/>
      <c r="U301" s="1558"/>
      <c r="V301" s="1558"/>
      <c r="W301" s="1558"/>
      <c r="X301" s="1558"/>
      <c r="Y301" s="1558"/>
      <c r="Z301" s="1558"/>
      <c r="AA301" s="1558"/>
      <c r="AB301" s="1558"/>
      <c r="AC301" s="1558"/>
      <c r="AD301" s="1558"/>
      <c r="AE301" s="1558"/>
      <c r="AF301" s="1558"/>
      <c r="AG301" s="1558">
        <v>11</v>
      </c>
    </row>
    <row r="302" spans="1:33" ht="11.45" customHeight="1">
      <c r="A302" s="920"/>
      <c r="B302" s="1558"/>
      <c r="D302" s="1558"/>
      <c r="L302" s="1558"/>
      <c r="O302" s="1558"/>
      <c r="P302" s="1558"/>
      <c r="Q302" s="1558"/>
      <c r="R302" s="1558"/>
      <c r="T302" s="1558"/>
      <c r="U302" s="1558"/>
      <c r="V302" s="1558"/>
      <c r="W302" s="1558"/>
      <c r="X302" s="1558"/>
      <c r="Y302" s="1558"/>
      <c r="Z302" s="1558"/>
      <c r="AA302" s="1558"/>
      <c r="AB302" s="1558"/>
      <c r="AC302" s="1558"/>
      <c r="AD302" s="1558"/>
      <c r="AE302" s="1558"/>
      <c r="AF302" s="1558"/>
      <c r="AG302" s="1558">
        <v>11</v>
      </c>
    </row>
    <row r="303" spans="1:33" ht="11.25" hidden="1" customHeight="1">
      <c r="A303" s="917" t="s">
        <v>81</v>
      </c>
      <c r="B303" s="1087">
        <v>0</v>
      </c>
      <c r="C303" s="1563">
        <v>0</v>
      </c>
      <c r="D303" s="1562">
        <v>3</v>
      </c>
      <c r="E303" s="1558">
        <v>7</v>
      </c>
      <c r="F303" s="1558">
        <v>54</v>
      </c>
      <c r="G303" s="1558">
        <v>10</v>
      </c>
      <c r="H303" s="1558">
        <v>0</v>
      </c>
      <c r="I303" s="1558">
        <v>40</v>
      </c>
      <c r="J303" s="1562">
        <v>0</v>
      </c>
      <c r="K303" s="1558">
        <v>102</v>
      </c>
      <c r="L303" s="1087">
        <v>9</v>
      </c>
      <c r="M303" s="1563">
        <v>5</v>
      </c>
      <c r="N303" s="1563">
        <v>3</v>
      </c>
      <c r="O303" s="1087">
        <v>3</v>
      </c>
      <c r="P303" s="1087">
        <v>3</v>
      </c>
      <c r="Q303" s="1087">
        <v>3</v>
      </c>
      <c r="R303" s="1087">
        <v>3</v>
      </c>
      <c r="S303" s="1563">
        <v>10</v>
      </c>
      <c r="T303" s="1087">
        <v>34</v>
      </c>
      <c r="U303" s="1087">
        <v>9</v>
      </c>
      <c r="V303" s="481">
        <v>8</v>
      </c>
      <c r="W303" s="1087">
        <v>8</v>
      </c>
      <c r="X303" s="1087">
        <v>8</v>
      </c>
      <c r="Y303" s="1087">
        <v>8</v>
      </c>
      <c r="Z303" s="1087">
        <v>8</v>
      </c>
      <c r="AA303" s="1087">
        <v>8</v>
      </c>
      <c r="AB303" s="1559">
        <v>8</v>
      </c>
      <c r="AC303" s="1559">
        <v>8</v>
      </c>
      <c r="AD303" s="1559">
        <v>8</v>
      </c>
      <c r="AE303" s="1559">
        <v>8</v>
      </c>
      <c r="AF303" s="1559">
        <v>8</v>
      </c>
      <c r="AG303" s="1558">
        <v>11</v>
      </c>
    </row>
  </sheetData>
  <sheetProtection formatColumns="0" formatRows="0" insertRows="0" deleteColumns="0" deleteRows="0" sort="0" autoFilter="0"/>
  <mergeCells count="18">
    <mergeCell ref="B2:B7"/>
    <mergeCell ref="K25:K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Введите значение от 0 до 100%" sqref="H90:J90 H95:J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J68 H66:J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0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00"/>
      <c r="G5" s="2200"/>
      <c r="H5" s="2200"/>
      <c r="I5" s="2200"/>
      <c r="J5" s="2200"/>
      <c r="K5" s="2200"/>
      <c r="L5" s="550"/>
      <c r="M5" s="550"/>
      <c r="CF5" s="442">
        <v>28</v>
      </c>
    </row>
    <row r="6" spans="1:84" s="1562" customFormat="1" ht="16.899999999999999" customHeight="1">
      <c r="A6" s="547"/>
      <c r="B6" s="694"/>
      <c r="C6" s="446"/>
      <c r="D6" s="988"/>
      <c r="E6" s="2172" t="str">
        <f>IF(org=0,"Не определено",org)</f>
        <v>МУП "Михайловское водопроводно-канализационное хозяйство"</v>
      </c>
      <c r="F6" s="2172"/>
      <c r="G6" s="2172"/>
      <c r="H6" s="2172"/>
      <c r="I6" s="2172"/>
      <c r="J6" s="2172"/>
      <c r="K6" s="217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73" t="s">
        <v>302</v>
      </c>
      <c r="F9" s="2078"/>
      <c r="G9" s="2078"/>
      <c r="H9" s="2078"/>
      <c r="I9" s="2078"/>
      <c r="J9" s="2078"/>
      <c r="K9" s="2078"/>
      <c r="L9" s="2078"/>
      <c r="M9" s="2078"/>
      <c r="N9" s="2078"/>
      <c r="O9" s="2078"/>
      <c r="P9" s="2078"/>
      <c r="Q9" s="2078"/>
      <c r="R9" s="2072"/>
      <c r="S9" s="2091" t="s">
        <v>303</v>
      </c>
      <c r="T9" s="271"/>
      <c r="CF9" s="442">
        <v>19</v>
      </c>
    </row>
    <row r="10" spans="1:84" ht="48.2" customHeight="1">
      <c r="D10" s="488" t="s">
        <v>87</v>
      </c>
      <c r="E10" s="2091" t="s">
        <v>87</v>
      </c>
      <c r="F10" s="2091"/>
      <c r="G10" s="458" t="s">
        <v>304</v>
      </c>
      <c r="H10" s="2091" t="s">
        <v>87</v>
      </c>
      <c r="I10" s="2091"/>
      <c r="J10" s="458" t="s">
        <v>604</v>
      </c>
      <c r="K10" s="458" t="s">
        <v>605</v>
      </c>
      <c r="L10" s="2091" t="s">
        <v>87</v>
      </c>
      <c r="M10" s="2091"/>
      <c r="N10" s="458" t="s">
        <v>606</v>
      </c>
      <c r="O10" s="458" t="s">
        <v>607</v>
      </c>
      <c r="P10" s="458" t="s">
        <v>608</v>
      </c>
      <c r="Q10" s="458" t="s">
        <v>609</v>
      </c>
      <c r="R10" s="458" t="s">
        <v>610</v>
      </c>
      <c r="S10" s="2091"/>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152</v>
      </c>
      <c r="P11" s="955" t="s">
        <v>153</v>
      </c>
      <c r="Q11" s="955" t="s">
        <v>154</v>
      </c>
      <c r="R11" s="955" t="s">
        <v>155</v>
      </c>
      <c r="S11" s="955" t="s">
        <v>156</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378</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310" t="s">
        <v>108</v>
      </c>
      <c r="E14" s="2317" t="s">
        <v>104</v>
      </c>
      <c r="F14" s="2318"/>
      <c r="G14" s="2319"/>
      <c r="H14" s="2313" t="str">
        <f>IF(A14="","",INDEX(DIFFERENTIATION_UNMERGE_VD,MATCH(A14,DIFFERENTIATION_ID_DIFF,0)))</f>
        <v>Подключение (технологическое присоединение) к централизованной системе водоснабжения</v>
      </c>
      <c r="I14" s="2313"/>
      <c r="J14" s="2313"/>
      <c r="K14" s="2313"/>
      <c r="L14" s="2313"/>
      <c r="M14" s="2313"/>
      <c r="N14" s="2313"/>
      <c r="O14" s="2313"/>
      <c r="P14" s="2313"/>
      <c r="Q14" s="2313"/>
      <c r="R14" s="2313"/>
      <c r="S14" s="656"/>
      <c r="T14" s="653"/>
      <c r="U14" s="562"/>
      <c r="V14" s="562"/>
      <c r="W14" s="563"/>
      <c r="X14" s="563"/>
      <c r="Y14" s="563"/>
      <c r="Z14" s="563"/>
      <c r="AA14" s="564"/>
      <c r="AB14" s="565"/>
      <c r="AC14" s="2316"/>
      <c r="AD14" s="566"/>
      <c r="AE14" s="567" t="s">
        <v>22</v>
      </c>
      <c r="AF14" s="567"/>
      <c r="AG14" s="568" t="s">
        <v>611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311"/>
      <c r="E15" s="2317" t="s">
        <v>566</v>
      </c>
      <c r="F15" s="2318"/>
      <c r="G15" s="2319"/>
      <c r="H15" s="2313" t="str">
        <f>IF(A14="","",INDEX(DIFFERENTIATION_UNMERGE_AREA,MATCH(A14,DIFFERENTIATION_ID_DIFF,0)))</f>
        <v>без дифференциации</v>
      </c>
      <c r="I15" s="2313"/>
      <c r="J15" s="2313"/>
      <c r="K15" s="2313"/>
      <c r="L15" s="2313"/>
      <c r="M15" s="2313"/>
      <c r="N15" s="2313"/>
      <c r="O15" s="2313"/>
      <c r="P15" s="2313"/>
      <c r="Q15" s="2313"/>
      <c r="R15" s="2313"/>
      <c r="S15" s="656"/>
      <c r="T15" s="653"/>
      <c r="U15" s="562"/>
      <c r="V15" s="562"/>
      <c r="W15" s="563"/>
      <c r="X15" s="563"/>
      <c r="Y15" s="563"/>
      <c r="Z15" s="563"/>
      <c r="AA15" s="564"/>
      <c r="AB15" s="565"/>
      <c r="AC15" s="231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311"/>
      <c r="E16" s="2317" t="s">
        <v>567</v>
      </c>
      <c r="F16" s="2318"/>
      <c r="G16" s="2319"/>
      <c r="H16" s="2313" t="str">
        <f>IF(A14="","",INDEX(DIFFERENTIATION_UNMERGE_SYSTEM,MATCH(A14,DIFFERENTIATION_ID_DIFF,0)))</f>
        <v>Централизованная система водоснабжения (питьевая вода)</v>
      </c>
      <c r="I16" s="2313"/>
      <c r="J16" s="2313"/>
      <c r="K16" s="2313"/>
      <c r="L16" s="2313"/>
      <c r="M16" s="2313"/>
      <c r="N16" s="2313"/>
      <c r="O16" s="2313"/>
      <c r="P16" s="2313"/>
      <c r="Q16" s="2313"/>
      <c r="R16" s="2313"/>
      <c r="S16" s="656"/>
      <c r="T16" s="653"/>
      <c r="U16" s="562"/>
      <c r="V16" s="562"/>
      <c r="W16" s="563"/>
      <c r="X16" s="563"/>
      <c r="Y16" s="563"/>
      <c r="Z16" s="563"/>
      <c r="AA16" s="564"/>
      <c r="AB16" s="565"/>
      <c r="AC16" s="231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311"/>
      <c r="E17" s="2315" t="s">
        <v>612</v>
      </c>
      <c r="F17" s="2315"/>
      <c r="G17" s="2315"/>
      <c r="H17" s="2315"/>
      <c r="I17" s="2315"/>
      <c r="J17" s="2315"/>
      <c r="K17" s="2315"/>
      <c r="L17" s="2315"/>
      <c r="M17" s="2315"/>
      <c r="N17" s="2315"/>
      <c r="O17" s="2315"/>
      <c r="P17" s="2315"/>
      <c r="Q17" s="495">
        <f>SUMIF(T18:T19,"i",Q18:Q19)</f>
        <v>0</v>
      </c>
      <c r="R17" s="947"/>
      <c r="S17" s="827" t="s">
        <v>613</v>
      </c>
      <c r="T17" s="654" t="s">
        <v>614</v>
      </c>
      <c r="U17" s="2223">
        <v>1</v>
      </c>
      <c r="V17" s="2223" t="str">
        <f>INDEX(B_FHD_FLAG_INDEX_1,1,MATCH(A14,B_FHD_FLAG_DIFFERENTIATION,0))</f>
        <v>отсутствует</v>
      </c>
      <c r="W17" s="354"/>
      <c r="X17" s="354"/>
      <c r="Y17" s="354"/>
      <c r="Z17" s="354"/>
      <c r="AA17" s="448"/>
      <c r="AB17" s="354"/>
      <c r="AC17" s="231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311"/>
      <c r="E18" s="572"/>
      <c r="F18" s="572">
        <v>0</v>
      </c>
      <c r="G18" s="572"/>
      <c r="H18" s="572"/>
      <c r="I18" s="572"/>
      <c r="J18" s="572"/>
      <c r="K18" s="572"/>
      <c r="L18" s="572"/>
      <c r="M18" s="572"/>
      <c r="N18" s="572"/>
      <c r="O18" s="572"/>
      <c r="P18" s="572"/>
      <c r="Q18" s="572"/>
      <c r="R18" s="572"/>
      <c r="S18" s="573"/>
      <c r="T18" s="655"/>
      <c r="U18" s="2223"/>
      <c r="V18" s="2223"/>
      <c r="W18" s="448"/>
      <c r="X18" s="448"/>
      <c r="Y18" s="448"/>
      <c r="Z18" s="448"/>
      <c r="AA18" s="448"/>
      <c r="AB18" s="354"/>
      <c r="AC18" s="231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311"/>
      <c r="E19" s="586" t="s">
        <v>22</v>
      </c>
      <c r="F19" s="587" t="s">
        <v>22</v>
      </c>
      <c r="G19" s="587" t="s">
        <v>22</v>
      </c>
      <c r="H19" s="588" t="s">
        <v>22</v>
      </c>
      <c r="I19" s="588"/>
      <c r="J19" s="588"/>
      <c r="K19" s="588"/>
      <c r="L19" s="588"/>
      <c r="M19" s="588"/>
      <c r="N19" s="588"/>
      <c r="O19" s="588"/>
      <c r="P19" s="588"/>
      <c r="Q19" s="588"/>
      <c r="R19" s="589"/>
      <c r="S19" s="950"/>
      <c r="T19" s="655"/>
      <c r="U19" s="2223"/>
      <c r="V19" s="2223"/>
      <c r="W19" s="354"/>
      <c r="X19" s="354"/>
      <c r="Y19" s="354"/>
      <c r="Z19" s="354"/>
      <c r="AA19" s="448"/>
      <c r="AB19" s="354"/>
      <c r="AC19" s="231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311"/>
      <c r="E20" s="2315" t="s">
        <v>615</v>
      </c>
      <c r="F20" s="2315"/>
      <c r="G20" s="2315"/>
      <c r="H20" s="2315"/>
      <c r="I20" s="2315"/>
      <c r="J20" s="2315"/>
      <c r="K20" s="2315"/>
      <c r="L20" s="2315"/>
      <c r="M20" s="2315"/>
      <c r="N20" s="2315"/>
      <c r="O20" s="2315"/>
      <c r="P20" s="2315"/>
      <c r="Q20" s="495">
        <f>SUMIF(T21:T22,"i",Q21:Q22)</f>
        <v>0</v>
      </c>
      <c r="R20" s="947"/>
      <c r="S20" s="646" t="s">
        <v>616</v>
      </c>
      <c r="T20" s="654" t="s">
        <v>614</v>
      </c>
      <c r="U20" s="2223">
        <v>2</v>
      </c>
      <c r="V20" s="222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311"/>
      <c r="E21" s="572"/>
      <c r="F21" s="572">
        <v>0</v>
      </c>
      <c r="G21" s="572"/>
      <c r="H21" s="572"/>
      <c r="I21" s="572"/>
      <c r="J21" s="572"/>
      <c r="K21" s="572"/>
      <c r="L21" s="572"/>
      <c r="M21" s="572"/>
      <c r="N21" s="572"/>
      <c r="O21" s="572"/>
      <c r="P21" s="572"/>
      <c r="Q21" s="572"/>
      <c r="R21" s="572"/>
      <c r="S21" s="573"/>
      <c r="T21" s="655"/>
      <c r="U21" s="2223"/>
      <c r="V21" s="222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312"/>
      <c r="E22" s="586" t="s">
        <v>22</v>
      </c>
      <c r="F22" s="587" t="s">
        <v>22</v>
      </c>
      <c r="G22" s="587" t="s">
        <v>22</v>
      </c>
      <c r="H22" s="588" t="s">
        <v>22</v>
      </c>
      <c r="I22" s="588"/>
      <c r="J22" s="588"/>
      <c r="K22" s="588"/>
      <c r="L22" s="588"/>
      <c r="M22" s="588"/>
      <c r="N22" s="588"/>
      <c r="O22" s="588"/>
      <c r="P22" s="588"/>
      <c r="Q22" s="588"/>
      <c r="R22" s="589"/>
      <c r="S22" s="950"/>
      <c r="T22" s="655"/>
      <c r="U22" s="2223"/>
      <c r="V22" s="222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122</v>
      </c>
      <c r="B23" s="561"/>
      <c r="C23" s="561" t="s">
        <v>22</v>
      </c>
      <c r="D23" s="2320" t="s">
        <v>154</v>
      </c>
      <c r="E23" s="2317" t="s">
        <v>104</v>
      </c>
      <c r="F23" s="2318"/>
      <c r="G23" s="2319"/>
      <c r="H23" s="2313" t="str">
        <f>IF(A23="","",INDEX(DIFFERENTIATION_UNMERGE_VD,MATCH(A23,DIFFERENTIATION_ID_DIFF,0)))</f>
        <v>Подключение (технологическое присоединение) к централизованной системе водоснабжения</v>
      </c>
      <c r="I23" s="2313"/>
      <c r="J23" s="2313"/>
      <c r="K23" s="2313"/>
      <c r="L23" s="2313"/>
      <c r="M23" s="2313"/>
      <c r="N23" s="2313"/>
      <c r="O23" s="2313"/>
      <c r="P23" s="2313"/>
      <c r="Q23" s="2313"/>
      <c r="R23" s="2313"/>
      <c r="S23" s="656"/>
      <c r="T23" s="653"/>
      <c r="U23" s="562"/>
      <c r="V23" s="562"/>
      <c r="W23" s="563"/>
      <c r="X23" s="563"/>
      <c r="Y23" s="563"/>
      <c r="Z23" s="563"/>
      <c r="AA23" s="564"/>
      <c r="AB23" s="565"/>
      <c r="AC23" s="2316"/>
      <c r="AD23" s="566"/>
      <c r="AE23" s="567" t="s">
        <v>22</v>
      </c>
      <c r="AF23" s="567"/>
      <c r="AG23" s="568" t="s">
        <v>611</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6"/>
    </row>
    <row r="24" spans="1:84" ht="15" hidden="1" customHeight="1">
      <c r="A24" s="560"/>
      <c r="B24" s="561"/>
      <c r="C24" s="561"/>
      <c r="D24" s="2321"/>
      <c r="E24" s="2317" t="s">
        <v>566</v>
      </c>
      <c r="F24" s="2318"/>
      <c r="G24" s="2319"/>
      <c r="H24" s="2313" t="str">
        <f>IF(A23="","",INDEX(DIFFERENTIATION_UNMERGE_AREA,MATCH(A23,DIFFERENTIATION_ID_DIFF,0)))</f>
        <v>без дифференциации</v>
      </c>
      <c r="I24" s="2313"/>
      <c r="J24" s="2313"/>
      <c r="K24" s="2313"/>
      <c r="L24" s="2313"/>
      <c r="M24" s="2313"/>
      <c r="N24" s="2313"/>
      <c r="O24" s="2313"/>
      <c r="P24" s="2313"/>
      <c r="Q24" s="2313"/>
      <c r="R24" s="2313"/>
      <c r="S24" s="656"/>
      <c r="T24" s="653"/>
      <c r="U24" s="562"/>
      <c r="V24" s="562"/>
      <c r="W24" s="563"/>
      <c r="X24" s="563"/>
      <c r="Y24" s="563"/>
      <c r="Z24" s="563"/>
      <c r="AA24" s="564"/>
      <c r="AB24" s="565"/>
      <c r="AC24" s="2316"/>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6"/>
    </row>
    <row r="25" spans="1:84" ht="15" hidden="1" customHeight="1">
      <c r="A25" s="560"/>
      <c r="B25" s="561"/>
      <c r="C25" s="561"/>
      <c r="D25" s="2321"/>
      <c r="E25" s="2317" t="s">
        <v>567</v>
      </c>
      <c r="F25" s="2318"/>
      <c r="G25" s="2319"/>
      <c r="H25" s="2313" t="str">
        <f>IF(A23="","",INDEX(DIFFERENTIATION_UNMERGE_SYSTEM,MATCH(A23,DIFFERENTIATION_ID_DIFF,0)))</f>
        <v>Централизованная система водоснабжения (техническая вода)</v>
      </c>
      <c r="I25" s="2313"/>
      <c r="J25" s="2313"/>
      <c r="K25" s="2313"/>
      <c r="L25" s="2313"/>
      <c r="M25" s="2313"/>
      <c r="N25" s="2313"/>
      <c r="O25" s="2313"/>
      <c r="P25" s="2313"/>
      <c r="Q25" s="2313"/>
      <c r="R25" s="2313"/>
      <c r="S25" s="656"/>
      <c r="T25" s="653"/>
      <c r="U25" s="562"/>
      <c r="V25" s="562"/>
      <c r="W25" s="563"/>
      <c r="X25" s="563"/>
      <c r="Y25" s="563"/>
      <c r="Z25" s="563"/>
      <c r="AA25" s="564"/>
      <c r="AB25" s="565"/>
      <c r="AC25" s="2316"/>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6"/>
    </row>
    <row r="26" spans="1:84" ht="24.75" hidden="1" customHeight="1">
      <c r="A26" s="1733"/>
      <c r="B26" s="1087"/>
      <c r="C26" s="349"/>
      <c r="D26" s="2321"/>
      <c r="E26" s="2315" t="s">
        <v>612</v>
      </c>
      <c r="F26" s="2315"/>
      <c r="G26" s="2315"/>
      <c r="H26" s="2315"/>
      <c r="I26" s="2315"/>
      <c r="J26" s="2315"/>
      <c r="K26" s="2315"/>
      <c r="L26" s="2315"/>
      <c r="M26" s="2315"/>
      <c r="N26" s="2315"/>
      <c r="O26" s="2315"/>
      <c r="P26" s="2315"/>
      <c r="Q26" s="495">
        <f>SUMIF(T27:T28,"i",Q27:Q28)</f>
        <v>0</v>
      </c>
      <c r="R26" s="947"/>
      <c r="S26" s="1725" t="s">
        <v>613</v>
      </c>
      <c r="T26" s="654" t="s">
        <v>614</v>
      </c>
      <c r="U26" s="2223">
        <v>1</v>
      </c>
      <c r="V26" s="2223" t="s">
        <v>577</v>
      </c>
      <c r="W26" s="1087"/>
      <c r="X26" s="1087"/>
      <c r="Y26" s="1087"/>
      <c r="Z26" s="1087"/>
      <c r="AA26" s="1563"/>
      <c r="AB26" s="1087"/>
      <c r="AC26" s="2316"/>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6"/>
    </row>
    <row r="27" spans="1:84" ht="11.25" hidden="1" customHeight="1">
      <c r="A27" s="1720"/>
      <c r="B27" s="1563"/>
      <c r="C27" s="1563"/>
      <c r="D27" s="2321"/>
      <c r="E27" s="572"/>
      <c r="F27" s="572">
        <v>0</v>
      </c>
      <c r="G27" s="572"/>
      <c r="H27" s="572"/>
      <c r="I27" s="572"/>
      <c r="J27" s="572"/>
      <c r="K27" s="572"/>
      <c r="L27" s="572"/>
      <c r="M27" s="572"/>
      <c r="N27" s="572"/>
      <c r="O27" s="572"/>
      <c r="P27" s="572"/>
      <c r="Q27" s="572"/>
      <c r="R27" s="572"/>
      <c r="S27" s="573"/>
      <c r="T27" s="655"/>
      <c r="U27" s="2223"/>
      <c r="V27" s="2223"/>
      <c r="W27" s="1563"/>
      <c r="X27" s="1563"/>
      <c r="Y27" s="1563"/>
      <c r="Z27" s="1563"/>
      <c r="AA27" s="1563"/>
      <c r="AB27" s="1087"/>
      <c r="AC27" s="2316"/>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6"/>
    </row>
    <row r="28" spans="1:84" ht="11.25" hidden="1" customHeight="1">
      <c r="A28" s="1733"/>
      <c r="B28" s="1087"/>
      <c r="C28" s="349"/>
      <c r="D28" s="2321"/>
      <c r="E28" s="586" t="s">
        <v>22</v>
      </c>
      <c r="F28" s="1095" t="s">
        <v>22</v>
      </c>
      <c r="G28" s="1095" t="s">
        <v>617</v>
      </c>
      <c r="H28" s="588" t="s">
        <v>22</v>
      </c>
      <c r="I28" s="588"/>
      <c r="J28" s="588"/>
      <c r="K28" s="588"/>
      <c r="L28" s="588"/>
      <c r="M28" s="588"/>
      <c r="N28" s="588"/>
      <c r="O28" s="588"/>
      <c r="P28" s="588"/>
      <c r="Q28" s="588"/>
      <c r="R28" s="589"/>
      <c r="S28" s="590"/>
      <c r="T28" s="655"/>
      <c r="U28" s="2223"/>
      <c r="V28" s="2223"/>
      <c r="W28" s="1087"/>
      <c r="X28" s="1087"/>
      <c r="Y28" s="1087"/>
      <c r="Z28" s="1087"/>
      <c r="AA28" s="1563"/>
      <c r="AB28" s="1087"/>
      <c r="AC28" s="2316"/>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6"/>
    </row>
    <row r="29" spans="1:84" ht="24.75" hidden="1" customHeight="1">
      <c r="A29" s="1733"/>
      <c r="B29" s="1087"/>
      <c r="C29" s="349"/>
      <c r="D29" s="2321"/>
      <c r="E29" s="2315" t="s">
        <v>615</v>
      </c>
      <c r="F29" s="2315"/>
      <c r="G29" s="2315"/>
      <c r="H29" s="2315"/>
      <c r="I29" s="2315"/>
      <c r="J29" s="2315"/>
      <c r="K29" s="2315"/>
      <c r="L29" s="2315"/>
      <c r="M29" s="2315"/>
      <c r="N29" s="2315"/>
      <c r="O29" s="2315"/>
      <c r="P29" s="2315"/>
      <c r="Q29" s="495">
        <f>SUMIF(T30:T31,"i",Q30:Q31)</f>
        <v>0</v>
      </c>
      <c r="R29" s="947"/>
      <c r="S29" s="1725" t="s">
        <v>616</v>
      </c>
      <c r="T29" s="654" t="s">
        <v>614</v>
      </c>
      <c r="U29" s="2223">
        <v>1</v>
      </c>
      <c r="V29" s="2223" t="s">
        <v>577</v>
      </c>
      <c r="W29" s="1087"/>
      <c r="X29" s="1087"/>
      <c r="Y29" s="1087"/>
      <c r="Z29" s="1087"/>
      <c r="AA29" s="1563"/>
      <c r="AB29" s="1087"/>
      <c r="AC29" s="1723"/>
      <c r="AD29" s="566"/>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6"/>
    </row>
    <row r="30" spans="1:84" ht="11.25" hidden="1" customHeight="1">
      <c r="A30" s="1720"/>
      <c r="B30" s="1563"/>
      <c r="C30" s="1563"/>
      <c r="D30" s="2321"/>
      <c r="E30" s="572"/>
      <c r="F30" s="572">
        <v>0</v>
      </c>
      <c r="G30" s="572"/>
      <c r="H30" s="572"/>
      <c r="I30" s="572"/>
      <c r="J30" s="572"/>
      <c r="K30" s="572"/>
      <c r="L30" s="572"/>
      <c r="M30" s="572"/>
      <c r="N30" s="572"/>
      <c r="O30" s="572"/>
      <c r="P30" s="572"/>
      <c r="Q30" s="572"/>
      <c r="R30" s="572"/>
      <c r="S30" s="573"/>
      <c r="T30" s="655"/>
      <c r="U30" s="2223"/>
      <c r="V30" s="2223"/>
      <c r="W30" s="1563"/>
      <c r="X30" s="1563"/>
      <c r="Y30" s="1563"/>
      <c r="Z30" s="1563"/>
      <c r="AA30" s="1563"/>
      <c r="AB30" s="1087"/>
      <c r="AC30" s="1723"/>
      <c r="AD30" s="566"/>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6"/>
    </row>
    <row r="31" spans="1:84" ht="11.25" hidden="1" customHeight="1">
      <c r="A31" s="1733"/>
      <c r="B31" s="1087"/>
      <c r="C31" s="349"/>
      <c r="D31" s="2322"/>
      <c r="E31" s="586" t="s">
        <v>22</v>
      </c>
      <c r="F31" s="1095" t="s">
        <v>22</v>
      </c>
      <c r="G31" s="1095" t="s">
        <v>617</v>
      </c>
      <c r="H31" s="588" t="s">
        <v>22</v>
      </c>
      <c r="I31" s="588"/>
      <c r="J31" s="588"/>
      <c r="K31" s="588"/>
      <c r="L31" s="588"/>
      <c r="M31" s="588"/>
      <c r="N31" s="588"/>
      <c r="O31" s="588"/>
      <c r="P31" s="588"/>
      <c r="Q31" s="588"/>
      <c r="R31" s="589"/>
      <c r="S31" s="590"/>
      <c r="T31" s="655"/>
      <c r="U31" s="2223"/>
      <c r="V31" s="2223"/>
      <c r="W31" s="1087"/>
      <c r="X31" s="1087"/>
      <c r="Y31" s="1087"/>
      <c r="Z31" s="1087"/>
      <c r="AA31" s="1563"/>
      <c r="AB31" s="1087"/>
      <c r="AC31" s="1723"/>
      <c r="AD31" s="566"/>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6"/>
    </row>
    <row r="32" spans="1:84" ht="19.899999999999999" customHeight="1">
      <c r="D32" s="977"/>
      <c r="E32" s="977"/>
      <c r="F32" s="977"/>
      <c r="G32" s="977"/>
      <c r="H32" s="977"/>
      <c r="I32" s="977"/>
      <c r="J32" s="977"/>
      <c r="K32" s="977"/>
      <c r="L32" s="977"/>
      <c r="M32" s="977"/>
      <c r="N32" s="977"/>
      <c r="O32" s="977"/>
      <c r="P32" s="977"/>
      <c r="Q32" s="977"/>
      <c r="R32" s="977"/>
      <c r="S32" s="977"/>
      <c r="T32" s="271"/>
      <c r="CF32" s="442">
        <v>19</v>
      </c>
    </row>
    <row r="33" spans="1:84" ht="11.45" customHeight="1">
      <c r="D33" s="446"/>
      <c r="CF33" s="442">
        <v>11</v>
      </c>
    </row>
    <row r="34" spans="1:84" ht="11.45" customHeight="1">
      <c r="D34" s="591"/>
      <c r="E34" s="591"/>
      <c r="F34" s="591"/>
      <c r="G34" s="592"/>
      <c r="CF34" s="442">
        <v>11</v>
      </c>
    </row>
    <row r="35" spans="1:84" ht="11.45" customHeight="1">
      <c r="CF35" s="442">
        <v>11</v>
      </c>
    </row>
    <row r="36" spans="1:84" ht="11.45" customHeight="1">
      <c r="D36" s="593"/>
      <c r="E36" s="2314"/>
      <c r="F36" s="2314"/>
      <c r="G36" s="2314"/>
      <c r="H36" s="2314"/>
      <c r="I36" s="2314"/>
      <c r="J36" s="2314"/>
      <c r="K36" s="2314"/>
      <c r="L36" s="2314"/>
      <c r="M36" s="2314"/>
      <c r="N36" s="2314"/>
      <c r="O36" s="2314"/>
      <c r="P36" s="2314"/>
      <c r="Q36" s="2314"/>
      <c r="R36" s="2314"/>
      <c r="CF36" s="442">
        <v>11</v>
      </c>
    </row>
    <row r="37" spans="1:84" ht="11.45" customHeight="1">
      <c r="F37" s="693"/>
      <c r="G37" s="693"/>
      <c r="CF37" s="442">
        <v>11</v>
      </c>
    </row>
    <row r="38" spans="1:84" ht="11.25" hidden="1" customHeight="1">
      <c r="A38" s="547" t="s">
        <v>81</v>
      </c>
      <c r="B38" s="386">
        <v>0</v>
      </c>
      <c r="C38" s="442">
        <v>3</v>
      </c>
      <c r="D38" s="442">
        <v>0</v>
      </c>
      <c r="E38" s="442">
        <v>7</v>
      </c>
      <c r="F38" s="442">
        <v>7</v>
      </c>
      <c r="G38" s="442">
        <v>29</v>
      </c>
      <c r="H38" s="442">
        <v>3</v>
      </c>
      <c r="I38" s="442">
        <v>5</v>
      </c>
      <c r="J38" s="442">
        <v>24</v>
      </c>
      <c r="K38" s="442">
        <v>24</v>
      </c>
      <c r="L38" s="442">
        <v>3</v>
      </c>
      <c r="M38" s="442">
        <v>6</v>
      </c>
      <c r="N38" s="442">
        <v>25</v>
      </c>
      <c r="O38" s="442">
        <v>18</v>
      </c>
      <c r="P38" s="442">
        <v>18</v>
      </c>
      <c r="Q38" s="442">
        <v>18</v>
      </c>
      <c r="R38" s="442">
        <v>18</v>
      </c>
      <c r="S38" s="442">
        <v>93</v>
      </c>
      <c r="T38" s="442">
        <v>10</v>
      </c>
      <c r="U38" s="548">
        <v>10</v>
      </c>
      <c r="V38" s="548">
        <v>11</v>
      </c>
      <c r="W38" s="549">
        <v>10</v>
      </c>
      <c r="X38" s="386">
        <v>10</v>
      </c>
      <c r="Y38" s="386">
        <v>10</v>
      </c>
      <c r="Z38" s="386">
        <v>10</v>
      </c>
      <c r="AA38" s="386">
        <v>10</v>
      </c>
      <c r="AB38" s="442">
        <v>8</v>
      </c>
      <c r="AC38" s="442">
        <v>8</v>
      </c>
      <c r="AD38" s="442">
        <v>8</v>
      </c>
      <c r="AE38" s="442">
        <v>8</v>
      </c>
      <c r="AF38" s="442">
        <v>8</v>
      </c>
      <c r="AG38" s="442">
        <v>8</v>
      </c>
      <c r="AH38" s="442">
        <v>8</v>
      </c>
      <c r="AI38" s="442">
        <v>8</v>
      </c>
      <c r="AJ38" s="442">
        <v>8</v>
      </c>
      <c r="AK38" s="442">
        <v>8</v>
      </c>
      <c r="AL38" s="442">
        <v>8</v>
      </c>
      <c r="AM38" s="442">
        <v>8</v>
      </c>
      <c r="AN38" s="442">
        <v>8</v>
      </c>
      <c r="AO38" s="442">
        <v>8</v>
      </c>
      <c r="AP38" s="442">
        <v>8</v>
      </c>
      <c r="AQ38" s="442">
        <v>8</v>
      </c>
      <c r="AR38" s="442">
        <v>8</v>
      </c>
      <c r="AS38" s="442">
        <v>8</v>
      </c>
      <c r="AT38" s="442">
        <v>8</v>
      </c>
      <c r="AU38" s="442">
        <v>8</v>
      </c>
      <c r="AV38" s="442">
        <v>8</v>
      </c>
      <c r="AW38" s="442">
        <v>8</v>
      </c>
      <c r="AX38" s="442">
        <v>8</v>
      </c>
      <c r="AY38" s="442">
        <v>8</v>
      </c>
      <c r="AZ38" s="442">
        <v>8</v>
      </c>
      <c r="BA38" s="442">
        <v>8</v>
      </c>
      <c r="BB38" s="442">
        <v>8</v>
      </c>
      <c r="BC38" s="442">
        <v>8</v>
      </c>
      <c r="BD38" s="442">
        <v>8</v>
      </c>
      <c r="BE38" s="442">
        <v>8</v>
      </c>
      <c r="BF38" s="442">
        <v>8</v>
      </c>
      <c r="BG38" s="442">
        <v>8</v>
      </c>
      <c r="BH38" s="442">
        <v>8</v>
      </c>
      <c r="BI38" s="442">
        <v>8</v>
      </c>
      <c r="BJ38" s="442">
        <v>8</v>
      </c>
      <c r="BK38" s="442">
        <v>8</v>
      </c>
      <c r="BL38" s="442">
        <v>8</v>
      </c>
      <c r="BM38" s="442">
        <v>8</v>
      </c>
      <c r="BN38" s="442">
        <v>8</v>
      </c>
      <c r="BO38" s="442">
        <v>8</v>
      </c>
      <c r="BP38" s="442">
        <v>8</v>
      </c>
      <c r="BQ38" s="442">
        <v>8</v>
      </c>
      <c r="BR38" s="442">
        <v>8</v>
      </c>
      <c r="BS38" s="442">
        <v>8</v>
      </c>
      <c r="BT38" s="442">
        <v>8</v>
      </c>
      <c r="BU38" s="442">
        <v>8</v>
      </c>
      <c r="BV38" s="442">
        <v>8</v>
      </c>
      <c r="BW38" s="442">
        <v>8</v>
      </c>
      <c r="BX38" s="442">
        <v>8</v>
      </c>
      <c r="BY38" s="442">
        <v>8</v>
      </c>
      <c r="BZ38" s="442">
        <v>8</v>
      </c>
      <c r="CA38" s="442">
        <v>8</v>
      </c>
      <c r="CB38" s="442">
        <v>8</v>
      </c>
      <c r="CC38" s="442">
        <v>8</v>
      </c>
      <c r="CD38" s="442">
        <v>8</v>
      </c>
      <c r="CE38" s="442">
        <v>8</v>
      </c>
      <c r="CF38" s="442">
        <v>11</v>
      </c>
    </row>
  </sheetData>
  <sheetProtection formatColumns="0" formatRows="0" insertRows="0" deleteColumns="0" deleteRows="0" sort="0" autoFilter="0"/>
  <mergeCells count="36">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36:R36"/>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40.5703125" style="1562" customWidth="1"/>
    <col min="15" max="15" width="9.7109375" style="1293" hidden="1" customWidth="1"/>
    <col min="16" max="16" width="102" style="1562" customWidth="1"/>
    <col min="17" max="17" width="9" style="1293" customWidth="1"/>
    <col min="18" max="18" width="5" style="1569" customWidth="1"/>
    <col min="19" max="19" width="3" style="1569" customWidth="1"/>
    <col min="20" max="23" width="3" style="1293" customWidth="1"/>
    <col min="24" max="24" width="10" style="1569" customWidth="1"/>
    <col min="25" max="25" width="34" style="1293" customWidth="1"/>
    <col min="26" max="26" width="9" style="1293" customWidth="1"/>
    <col min="27" max="27" width="8" style="673" customWidth="1"/>
    <col min="28" max="32" width="8" style="1293" customWidth="1"/>
    <col min="33" max="37" width="8" style="1559" customWidth="1"/>
    <col min="38" max="38" width="5.42578125" style="1562" hidden="1" customWidth="1"/>
  </cols>
  <sheetData>
    <row r="1" spans="1:38" s="1293" customFormat="1" ht="33.75" hidden="1" customHeight="1">
      <c r="A1" s="917"/>
      <c r="B1" s="917"/>
      <c r="C1" s="917"/>
      <c r="D1" s="917"/>
      <c r="E1" s="917"/>
      <c r="G1" s="1563"/>
      <c r="H1" s="809"/>
      <c r="L1" s="1293">
        <v>4</v>
      </c>
      <c r="M1" s="1293">
        <v>4</v>
      </c>
      <c r="N1" s="1293">
        <v>4</v>
      </c>
      <c r="R1" s="1563"/>
      <c r="S1" s="1563"/>
      <c r="X1" s="1563"/>
      <c r="AL1" s="1293" t="s">
        <v>14</v>
      </c>
    </row>
    <row r="2" spans="1:38" s="1293" customFormat="1" ht="78.75" hidden="1" customHeight="1">
      <c r="A2" s="917"/>
      <c r="B2" s="1976" t="s">
        <v>618</v>
      </c>
      <c r="C2" s="1976" t="s">
        <v>619</v>
      </c>
      <c r="D2" s="1975" t="s">
        <v>620</v>
      </c>
      <c r="E2" s="1979" t="e">
        <f>RIGHT(I2,LEN(I2)-SEARCH("#",SUBSTITUTE(I2,".","#",LEN(I2)-LEN(SUBSTITUTE(I2,".","")))))</f>
        <v>#VALUE!</v>
      </c>
      <c r="F2" s="1981">
        <f>J2</f>
        <v>0</v>
      </c>
      <c r="G2" s="1563"/>
      <c r="H2" s="1982"/>
      <c r="I2" s="1972"/>
      <c r="J2" s="477"/>
      <c r="K2" s="1942" t="s">
        <v>558</v>
      </c>
      <c r="L2" s="688"/>
      <c r="M2" s="688"/>
      <c r="N2" s="688"/>
      <c r="O2" s="480"/>
      <c r="P2" s="1452" t="s">
        <v>559</v>
      </c>
      <c r="Q2" s="480"/>
      <c r="R2" s="1563"/>
      <c r="S2" s="1563"/>
      <c r="X2" s="1563"/>
      <c r="AA2" s="481"/>
      <c r="AG2" s="1559"/>
      <c r="AH2" s="1559"/>
      <c r="AI2" s="1559"/>
      <c r="AJ2" s="1559"/>
      <c r="AK2" s="1559"/>
      <c r="AL2" s="1293">
        <v>0</v>
      </c>
    </row>
    <row r="3" spans="1:38" ht="11.25" hidden="1" customHeight="1">
      <c r="E3" s="1974" t="s">
        <v>621</v>
      </c>
      <c r="L3" s="1558">
        <f>0</f>
        <v>0</v>
      </c>
      <c r="M3" s="1558">
        <v>1</v>
      </c>
      <c r="N3" s="1562">
        <f>0</f>
        <v>0</v>
      </c>
      <c r="AL3" s="1558">
        <v>0</v>
      </c>
    </row>
    <row r="4" spans="1:38" s="1559" customFormat="1" ht="11.25" hidden="1" customHeight="1">
      <c r="A4" s="917"/>
      <c r="B4" s="917"/>
      <c r="C4" s="917"/>
      <c r="E4" s="917"/>
      <c r="F4" s="1293"/>
      <c r="G4" s="1563"/>
      <c r="H4" s="557"/>
      <c r="O4" s="1293"/>
      <c r="P4" s="1559">
        <v>4</v>
      </c>
      <c r="Q4" s="1293"/>
      <c r="R4" s="1563"/>
      <c r="S4" s="1563"/>
      <c r="T4" s="1293"/>
      <c r="U4" s="1293"/>
      <c r="V4" s="1293"/>
      <c r="W4" s="1293"/>
      <c r="X4" s="1563"/>
      <c r="Y4" s="1293"/>
      <c r="Z4" s="1293"/>
      <c r="AA4" s="481"/>
      <c r="AB4" s="1293"/>
      <c r="AC4" s="1293"/>
      <c r="AD4" s="1293"/>
      <c r="AE4" s="1293"/>
      <c r="AF4" s="1293"/>
      <c r="AL4" s="1559">
        <v>0</v>
      </c>
    </row>
    <row r="5" spans="1:38" ht="11.45" customHeight="1">
      <c r="AL5" s="1558">
        <v>11</v>
      </c>
    </row>
    <row r="6" spans="1:38" ht="57.75" customHeight="1">
      <c r="I6" s="2149" t="s">
        <v>622</v>
      </c>
      <c r="J6" s="2149"/>
      <c r="K6" s="2149"/>
      <c r="L6" s="2149"/>
      <c r="M6" s="2149"/>
      <c r="N6" s="2010"/>
      <c r="P6" s="493"/>
      <c r="AL6" s="1558">
        <v>55</v>
      </c>
    </row>
    <row r="7" spans="1:38" ht="25.15" customHeight="1">
      <c r="I7" s="2172" t="str">
        <f>IF(org=0,"Не определено",org)</f>
        <v>МУП "Михайловское водопроводно-канализационное хозяйство"</v>
      </c>
      <c r="J7" s="2172"/>
      <c r="K7" s="2172"/>
      <c r="L7" s="2172"/>
      <c r="M7" s="2172"/>
      <c r="N7" s="2005"/>
      <c r="AL7" s="1558">
        <v>24</v>
      </c>
    </row>
    <row r="8" spans="1:38" ht="11.45" customHeight="1">
      <c r="I8" s="1062"/>
      <c r="J8" s="1062"/>
      <c r="K8" s="1062"/>
      <c r="L8" s="1062"/>
      <c r="M8" s="1062"/>
      <c r="N8" s="1063" t="s">
        <v>22</v>
      </c>
      <c r="AL8" s="1558">
        <v>11</v>
      </c>
    </row>
    <row r="9" spans="1:38" s="1569" customFormat="1" ht="30" hidden="1" customHeight="1">
      <c r="A9" s="1094"/>
      <c r="B9" s="1094"/>
      <c r="C9" s="1094"/>
      <c r="E9" s="1094"/>
      <c r="L9" s="819"/>
      <c r="M9" s="819" t="s">
        <v>117</v>
      </c>
      <c r="N9" s="819" t="s">
        <v>122</v>
      </c>
      <c r="AL9" s="1563">
        <v>1</v>
      </c>
    </row>
    <row r="10" spans="1:38" ht="11.45" customHeight="1">
      <c r="E10" s="1973" t="s">
        <v>623</v>
      </c>
      <c r="I10" s="648"/>
      <c r="J10" s="2306" t="s">
        <v>104</v>
      </c>
      <c r="K10" s="2307"/>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водоснабжения</v>
      </c>
      <c r="N10" s="2015" t="str">
        <f>IF(N9="","",INDEX(DIFFERENTIATION_UNMERGE_VD,MATCH(N9,DIFFERENTIATION_ID_DIFF,0)))</f>
        <v>Подключение (технологическое присоединение) к централизованной системе водоснабжения</v>
      </c>
      <c r="P10" s="2091" t="s">
        <v>303</v>
      </c>
      <c r="AL10" s="1558">
        <v>11</v>
      </c>
    </row>
    <row r="11" spans="1:38" ht="11.45" customHeight="1">
      <c r="E11" s="1973" t="s">
        <v>624</v>
      </c>
      <c r="I11" s="648"/>
      <c r="J11" s="2306" t="s">
        <v>566</v>
      </c>
      <c r="K11" s="2307"/>
      <c r="L11" s="1952" t="str">
        <f>IF(L9="","",INDEX(DIFFERENTIATION_UNMERGE_AREA,MATCH(L9,DIFFERENTIATION_ID_DIFF,0)))</f>
        <v/>
      </c>
      <c r="M11" s="1952" t="str">
        <f>IF(M9="","",INDEX(DIFFERENTIATION_UNMERGE_AREA,MATCH(M9,DIFFERENTIATION_ID_DIFF,0)))</f>
        <v>без дифференциации</v>
      </c>
      <c r="N11" s="2015" t="str">
        <f>IF(N9="","",INDEX(DIFFERENTIATION_UNMERGE_AREA,MATCH(N9,DIFFERENTIATION_ID_DIFF,0)))</f>
        <v>без дифференциации</v>
      </c>
      <c r="P11" s="2091"/>
      <c r="AL11" s="1558">
        <v>11</v>
      </c>
    </row>
    <row r="12" spans="1:38" ht="11.45" customHeight="1">
      <c r="E12" s="1973" t="s">
        <v>625</v>
      </c>
      <c r="I12" s="1589"/>
      <c r="J12" s="2306" t="s">
        <v>567</v>
      </c>
      <c r="K12" s="2307"/>
      <c r="L12" s="1952" t="str">
        <f>IF(L9="","",INDEX(DIFFERENTIATION_UNMERGE_SYSTEM,MATCH(L9,DIFFERENTIATION_ID_DIFF,0)))</f>
        <v/>
      </c>
      <c r="M12" s="1952" t="str">
        <f>IF(M9="","",INDEX(DIFFERENTIATION_UNMERGE_SYSTEM,MATCH(M9,DIFFERENTIATION_ID_DIFF,0)))</f>
        <v>Централизованная система водоснабжения (питьевая вода)</v>
      </c>
      <c r="N12" s="2015" t="str">
        <f>IF(N9="","",INDEX(DIFFERENTIATION_UNMERGE_SYSTEM,MATCH(N9,DIFFERENTIATION_ID_DIFF,0)))</f>
        <v>Централизованная система водоснабжения (техническая вода)</v>
      </c>
      <c r="P12" s="2091"/>
      <c r="AL12" s="1558">
        <v>11</v>
      </c>
    </row>
    <row r="13" spans="1:38" ht="11.45" customHeight="1">
      <c r="E13" s="1973" t="s">
        <v>626</v>
      </c>
      <c r="F13" s="1973" t="s">
        <v>627</v>
      </c>
      <c r="I13" s="2308" t="s">
        <v>302</v>
      </c>
      <c r="J13" s="2309"/>
      <c r="K13" s="2309"/>
      <c r="L13" s="1950"/>
      <c r="M13" s="1990"/>
      <c r="N13" s="2013"/>
      <c r="P13" s="2091"/>
      <c r="AL13" s="1558">
        <v>11</v>
      </c>
    </row>
    <row r="14" spans="1:38" ht="24" customHeight="1">
      <c r="I14" s="1943" t="s">
        <v>87</v>
      </c>
      <c r="J14" s="1943" t="s">
        <v>304</v>
      </c>
      <c r="K14" s="1943" t="s">
        <v>568</v>
      </c>
      <c r="L14" s="1983" t="s">
        <v>305</v>
      </c>
      <c r="M14" s="1984" t="s">
        <v>305</v>
      </c>
      <c r="N14" s="2007" t="s">
        <v>305</v>
      </c>
      <c r="P14" s="2091"/>
      <c r="AL14" s="1558">
        <v>23</v>
      </c>
    </row>
    <row r="15" spans="1:38" ht="24" customHeight="1">
      <c r="A15" s="1977"/>
      <c r="B15" s="1976" t="s">
        <v>628</v>
      </c>
      <c r="C15" s="1976" t="s">
        <v>629</v>
      </c>
      <c r="D15" s="1975" t="s">
        <v>630</v>
      </c>
      <c r="E15" s="1979" t="s">
        <v>631</v>
      </c>
      <c r="F15" s="1979" t="s">
        <v>631</v>
      </c>
      <c r="G15" s="1563" t="s">
        <v>590</v>
      </c>
      <c r="H15" s="1944"/>
      <c r="I15" s="1557">
        <v>1</v>
      </c>
      <c r="J15" s="1945" t="s">
        <v>632</v>
      </c>
      <c r="K15" s="1943" t="s">
        <v>308</v>
      </c>
      <c r="L15" s="599"/>
      <c r="M15" s="749"/>
      <c r="N15" s="599"/>
      <c r="O15" s="480" t="s">
        <v>633</v>
      </c>
      <c r="P15" s="1452" t="s">
        <v>634</v>
      </c>
      <c r="Q15" s="480" t="s">
        <v>633</v>
      </c>
      <c r="AL15" s="1558">
        <v>23</v>
      </c>
    </row>
    <row r="16" spans="1:38" ht="35.65" customHeight="1">
      <c r="A16" s="1977"/>
      <c r="B16" s="1976" t="s">
        <v>635</v>
      </c>
      <c r="C16" s="1976" t="s">
        <v>636</v>
      </c>
      <c r="D16" s="1975" t="s">
        <v>620</v>
      </c>
      <c r="E16" s="1979" t="s">
        <v>631</v>
      </c>
      <c r="F16" s="1979" t="s">
        <v>631</v>
      </c>
      <c r="H16" s="1944"/>
      <c r="I16" s="1556">
        <v>2</v>
      </c>
      <c r="J16" s="1986" t="s">
        <v>637</v>
      </c>
      <c r="K16" s="1985" t="s">
        <v>558</v>
      </c>
      <c r="L16" s="1991"/>
      <c r="M16" s="1603"/>
      <c r="N16" s="1991"/>
      <c r="O16" s="480" t="s">
        <v>633</v>
      </c>
      <c r="P16" s="1452" t="s">
        <v>638</v>
      </c>
      <c r="Q16" s="480" t="s">
        <v>633</v>
      </c>
      <c r="AL16" s="1558">
        <v>34</v>
      </c>
    </row>
    <row r="17" spans="1:38" s="1569" customFormat="1" ht="17.25" hidden="1" customHeight="1">
      <c r="A17" s="1094"/>
      <c r="B17" s="1094"/>
      <c r="C17" s="1094"/>
      <c r="D17" s="1094"/>
      <c r="E17" s="1094"/>
      <c r="H17" s="1251"/>
      <c r="I17" s="943" t="s">
        <v>639</v>
      </c>
      <c r="J17" s="921"/>
      <c r="K17" s="943"/>
      <c r="L17" s="922"/>
      <c r="M17" s="922"/>
      <c r="N17" s="922"/>
      <c r="P17" s="1312"/>
      <c r="AL17" s="1563">
        <v>1</v>
      </c>
    </row>
    <row r="18" spans="1:38" s="1293" customFormat="1" ht="24" customHeight="1">
      <c r="A18" s="917"/>
      <c r="B18" s="917"/>
      <c r="C18" s="917"/>
      <c r="D18" s="917"/>
      <c r="E18" s="917"/>
      <c r="G18" s="1563"/>
      <c r="H18" s="1560"/>
      <c r="I18" s="507"/>
      <c r="J18" s="508" t="s">
        <v>588</v>
      </c>
      <c r="K18" s="509"/>
      <c r="L18" s="1993"/>
      <c r="M18" s="510"/>
      <c r="N18" s="2043"/>
      <c r="O18" s="480"/>
      <c r="P18" s="1452" t="s">
        <v>589</v>
      </c>
      <c r="Q18" s="480"/>
      <c r="R18" s="1563"/>
      <c r="S18" s="1563"/>
      <c r="X18" s="1563"/>
      <c r="AA18" s="481"/>
      <c r="AG18" s="1559"/>
      <c r="AH18" s="1559"/>
      <c r="AI18" s="1559"/>
      <c r="AJ18" s="1559"/>
      <c r="AK18" s="1559"/>
      <c r="AL18" s="1293">
        <v>23</v>
      </c>
    </row>
    <row r="19" spans="1:38" ht="19.899999999999999" customHeight="1">
      <c r="A19" s="1977"/>
      <c r="B19" s="1976" t="s">
        <v>640</v>
      </c>
      <c r="C19" s="1976" t="s">
        <v>641</v>
      </c>
      <c r="D19" s="1975" t="s">
        <v>620</v>
      </c>
      <c r="E19" s="1979" t="s">
        <v>631</v>
      </c>
      <c r="F19" s="1979" t="s">
        <v>631</v>
      </c>
      <c r="H19" s="1944"/>
      <c r="I19" s="1591">
        <v>3</v>
      </c>
      <c r="J19" s="1945" t="s">
        <v>641</v>
      </c>
      <c r="K19" s="1941" t="s">
        <v>558</v>
      </c>
      <c r="L19" s="664"/>
      <c r="M19" s="494"/>
      <c r="N19" s="664"/>
      <c r="O19" s="480"/>
      <c r="P19" s="1452" t="s">
        <v>642</v>
      </c>
      <c r="Q19" s="480"/>
      <c r="AL19" s="1558">
        <v>19</v>
      </c>
    </row>
    <row r="20" spans="1:38" ht="77.650000000000006" customHeight="1">
      <c r="A20" s="1977"/>
      <c r="B20" s="1976" t="s">
        <v>643</v>
      </c>
      <c r="C20" s="1976" t="s">
        <v>644</v>
      </c>
      <c r="D20" s="1975" t="s">
        <v>620</v>
      </c>
      <c r="E20" s="1979" t="s">
        <v>631</v>
      </c>
      <c r="F20" s="1979" t="s">
        <v>631</v>
      </c>
      <c r="H20" s="1944"/>
      <c r="I20" s="1591">
        <v>4</v>
      </c>
      <c r="J20" s="1945" t="s">
        <v>645</v>
      </c>
      <c r="K20" s="1941" t="s">
        <v>585</v>
      </c>
      <c r="L20" s="664"/>
      <c r="M20" s="494"/>
      <c r="N20" s="664"/>
      <c r="O20" s="480"/>
      <c r="P20" s="1452"/>
      <c r="Q20" s="480"/>
      <c r="AL20" s="1558">
        <v>74</v>
      </c>
    </row>
    <row r="21" spans="1:38" ht="35.65" customHeight="1">
      <c r="A21" s="1977"/>
      <c r="B21" s="1976" t="s">
        <v>646</v>
      </c>
      <c r="C21" s="1976" t="s">
        <v>647</v>
      </c>
      <c r="D21" s="1975" t="s">
        <v>620</v>
      </c>
      <c r="E21" s="1979" t="s">
        <v>631</v>
      </c>
      <c r="F21" s="1979" t="s">
        <v>631</v>
      </c>
      <c r="H21" s="1944"/>
      <c r="I21" s="1591">
        <v>5</v>
      </c>
      <c r="J21" s="1945" t="s">
        <v>648</v>
      </c>
      <c r="K21" s="1941" t="s">
        <v>585</v>
      </c>
      <c r="L21" s="664"/>
      <c r="M21" s="494"/>
      <c r="N21" s="664"/>
      <c r="O21" s="480"/>
      <c r="P21" s="1452" t="s">
        <v>642</v>
      </c>
      <c r="Q21" s="480"/>
      <c r="AL21" s="1558">
        <v>34</v>
      </c>
    </row>
    <row r="22" spans="1:38" ht="48.2" customHeight="1">
      <c r="A22" s="1977"/>
      <c r="B22" s="1976" t="s">
        <v>649</v>
      </c>
      <c r="C22" s="1976" t="s">
        <v>650</v>
      </c>
      <c r="D22" s="1975" t="s">
        <v>620</v>
      </c>
      <c r="E22" s="1979" t="s">
        <v>631</v>
      </c>
      <c r="F22" s="1979" t="s">
        <v>631</v>
      </c>
      <c r="H22" s="1944"/>
      <c r="I22" s="1591">
        <v>6</v>
      </c>
      <c r="J22" s="1945" t="s">
        <v>651</v>
      </c>
      <c r="K22" s="1941" t="s">
        <v>585</v>
      </c>
      <c r="L22" s="664"/>
      <c r="M22" s="494"/>
      <c r="N22" s="664"/>
      <c r="O22" s="480"/>
      <c r="P22" s="1452" t="s">
        <v>652</v>
      </c>
      <c r="Q22" s="480"/>
      <c r="AL22" s="1558">
        <v>46</v>
      </c>
    </row>
    <row r="23" spans="1:38" ht="19.899999999999999" customHeight="1">
      <c r="A23" s="1977"/>
      <c r="B23" s="1976" t="s">
        <v>653</v>
      </c>
      <c r="C23" s="1976" t="s">
        <v>654</v>
      </c>
      <c r="D23" s="1975" t="s">
        <v>620</v>
      </c>
      <c r="E23" s="1979" t="s">
        <v>631</v>
      </c>
      <c r="F23" s="1979" t="s">
        <v>631</v>
      </c>
      <c r="H23" s="1944"/>
      <c r="I23" s="1591" t="s">
        <v>655</v>
      </c>
      <c r="J23" s="1451" t="s">
        <v>656</v>
      </c>
      <c r="K23" s="1941" t="s">
        <v>585</v>
      </c>
      <c r="L23" s="664"/>
      <c r="M23" s="494"/>
      <c r="N23" s="664"/>
      <c r="O23" s="480"/>
      <c r="P23" s="1452" t="s">
        <v>642</v>
      </c>
      <c r="Q23" s="480"/>
      <c r="AL23" s="1558">
        <v>19</v>
      </c>
    </row>
    <row r="24" spans="1:38" ht="19.899999999999999" customHeight="1">
      <c r="A24" s="1977"/>
      <c r="B24" s="1976" t="s">
        <v>657</v>
      </c>
      <c r="C24" s="1976" t="s">
        <v>658</v>
      </c>
      <c r="D24" s="1975" t="s">
        <v>620</v>
      </c>
      <c r="E24" s="1979" t="s">
        <v>631</v>
      </c>
      <c r="F24" s="1979" t="s">
        <v>631</v>
      </c>
      <c r="H24" s="1944"/>
      <c r="I24" s="1591" t="s">
        <v>659</v>
      </c>
      <c r="J24" s="1451" t="s">
        <v>660</v>
      </c>
      <c r="K24" s="1941" t="s">
        <v>585</v>
      </c>
      <c r="L24" s="664"/>
      <c r="M24" s="494"/>
      <c r="N24" s="664"/>
      <c r="O24" s="480"/>
      <c r="P24" s="1452"/>
      <c r="Q24" s="480"/>
      <c r="AL24" s="1558">
        <v>19</v>
      </c>
    </row>
    <row r="25" spans="1:38" ht="24" customHeight="1">
      <c r="A25" s="1977"/>
      <c r="B25" s="1976" t="s">
        <v>661</v>
      </c>
      <c r="C25" s="1976" t="s">
        <v>662</v>
      </c>
      <c r="D25" s="1975" t="s">
        <v>620</v>
      </c>
      <c r="E25" s="1979" t="s">
        <v>631</v>
      </c>
      <c r="F25" s="1979" t="s">
        <v>631</v>
      </c>
      <c r="H25" s="1944"/>
      <c r="I25" s="1591" t="s">
        <v>663</v>
      </c>
      <c r="J25" s="1451" t="s">
        <v>664</v>
      </c>
      <c r="K25" s="1941" t="s">
        <v>585</v>
      </c>
      <c r="L25" s="664"/>
      <c r="M25" s="494"/>
      <c r="N25" s="664"/>
      <c r="O25" s="480"/>
      <c r="P25" s="1452"/>
      <c r="Q25" s="480"/>
      <c r="AL25" s="1558">
        <v>23</v>
      </c>
    </row>
    <row r="26" spans="1:38" ht="24" customHeight="1">
      <c r="A26" s="1977"/>
      <c r="B26" s="1976" t="s">
        <v>665</v>
      </c>
      <c r="C26" s="1976" t="s">
        <v>666</v>
      </c>
      <c r="D26" s="1975" t="s">
        <v>620</v>
      </c>
      <c r="E26" s="1979" t="s">
        <v>631</v>
      </c>
      <c r="F26" s="1979" t="s">
        <v>631</v>
      </c>
      <c r="H26" s="1944"/>
      <c r="I26" s="1591">
        <v>7</v>
      </c>
      <c r="J26" s="1945" t="s">
        <v>666</v>
      </c>
      <c r="K26" s="1941" t="s">
        <v>667</v>
      </c>
      <c r="L26" s="664"/>
      <c r="M26" s="494"/>
      <c r="N26" s="664"/>
      <c r="O26" s="480"/>
      <c r="P26" s="1452"/>
      <c r="Q26" s="480"/>
      <c r="AL26" s="1558">
        <v>23</v>
      </c>
    </row>
    <row r="27" spans="1:38" ht="24" customHeight="1">
      <c r="A27" s="1977"/>
      <c r="B27" s="1976" t="s">
        <v>668</v>
      </c>
      <c r="C27" s="1976" t="s">
        <v>669</v>
      </c>
      <c r="D27" s="1975" t="s">
        <v>620</v>
      </c>
      <c r="E27" s="1979" t="s">
        <v>631</v>
      </c>
      <c r="F27" s="1979" t="s">
        <v>631</v>
      </c>
      <c r="H27" s="1944"/>
      <c r="I27" s="1591">
        <v>8</v>
      </c>
      <c r="J27" s="1945" t="s">
        <v>669</v>
      </c>
      <c r="K27" s="1941" t="s">
        <v>591</v>
      </c>
      <c r="L27" s="664"/>
      <c r="M27" s="494"/>
      <c r="N27" s="664"/>
      <c r="O27" s="480"/>
      <c r="P27" s="1452"/>
      <c r="Q27" s="480"/>
      <c r="AL27" s="1558">
        <v>23</v>
      </c>
    </row>
    <row r="28" spans="1:38" ht="35.65" customHeight="1">
      <c r="A28" s="1977"/>
      <c r="B28" s="1976" t="s">
        <v>670</v>
      </c>
      <c r="C28" s="1976" t="s">
        <v>671</v>
      </c>
      <c r="D28" s="1975" t="s">
        <v>620</v>
      </c>
      <c r="E28" s="1979" t="s">
        <v>631</v>
      </c>
      <c r="F28" s="1979" t="s">
        <v>631</v>
      </c>
      <c r="H28" s="1944"/>
      <c r="I28" s="1602">
        <v>9</v>
      </c>
      <c r="J28" s="1945" t="s">
        <v>672</v>
      </c>
      <c r="K28" s="1941" t="s">
        <v>562</v>
      </c>
      <c r="L28" s="664"/>
      <c r="M28" s="494"/>
      <c r="N28" s="664"/>
      <c r="O28" s="480"/>
      <c r="P28" s="1452"/>
      <c r="Q28" s="480"/>
      <c r="AL28" s="1558">
        <v>34</v>
      </c>
    </row>
    <row r="29" spans="1:38" ht="35.65" customHeight="1">
      <c r="A29" s="1977"/>
      <c r="B29" s="1976" t="s">
        <v>673</v>
      </c>
      <c r="C29" s="1976" t="s">
        <v>674</v>
      </c>
      <c r="D29" s="1975" t="s">
        <v>620</v>
      </c>
      <c r="E29" s="1979" t="s">
        <v>631</v>
      </c>
      <c r="F29" s="1979" t="s">
        <v>631</v>
      </c>
      <c r="H29" s="1944"/>
      <c r="I29" s="1602">
        <v>10</v>
      </c>
      <c r="J29" s="1945" t="s">
        <v>675</v>
      </c>
      <c r="K29" s="1941" t="s">
        <v>562</v>
      </c>
      <c r="L29" s="664"/>
      <c r="M29" s="494"/>
      <c r="N29" s="664"/>
      <c r="O29" s="480"/>
      <c r="P29" s="1452"/>
      <c r="Q29" s="480"/>
      <c r="AL29" s="1558">
        <v>34</v>
      </c>
    </row>
    <row r="30" spans="1:38" ht="24" customHeight="1">
      <c r="A30" s="1977"/>
      <c r="B30" s="1976" t="s">
        <v>676</v>
      </c>
      <c r="C30" s="1976" t="s">
        <v>677</v>
      </c>
      <c r="D30" s="1975" t="s">
        <v>620</v>
      </c>
      <c r="E30" s="1979" t="s">
        <v>631</v>
      </c>
      <c r="F30" s="1979" t="s">
        <v>631</v>
      </c>
      <c r="H30" s="1944"/>
      <c r="I30" s="1602">
        <v>11</v>
      </c>
      <c r="J30" s="1945" t="s">
        <v>677</v>
      </c>
      <c r="K30" s="1941" t="s">
        <v>592</v>
      </c>
      <c r="L30" s="1992"/>
      <c r="M30" s="1548"/>
      <c r="N30" s="1992"/>
      <c r="O30" s="480"/>
      <c r="P30" s="1452"/>
      <c r="Q30" s="480"/>
      <c r="AL30" s="1558">
        <v>23</v>
      </c>
    </row>
    <row r="31" spans="1:38" ht="24" customHeight="1">
      <c r="A31" s="1977"/>
      <c r="B31" s="1976" t="s">
        <v>678</v>
      </c>
      <c r="C31" s="1976" t="s">
        <v>679</v>
      </c>
      <c r="D31" s="1975" t="s">
        <v>620</v>
      </c>
      <c r="E31" s="1979" t="s">
        <v>631</v>
      </c>
      <c r="F31" s="1979" t="s">
        <v>631</v>
      </c>
      <c r="H31" s="1944"/>
      <c r="I31" s="1602">
        <v>12</v>
      </c>
      <c r="J31" s="1945" t="s">
        <v>679</v>
      </c>
      <c r="K31" s="1941" t="s">
        <v>592</v>
      </c>
      <c r="L31" s="1992"/>
      <c r="M31" s="1548"/>
      <c r="N31" s="1992"/>
      <c r="O31" s="480"/>
      <c r="P31" s="1452"/>
      <c r="Q31" s="480"/>
      <c r="AL31" s="1558">
        <v>23</v>
      </c>
    </row>
    <row r="32" spans="1:38" ht="48.2" customHeight="1">
      <c r="A32" s="1977"/>
      <c r="B32" s="1976" t="s">
        <v>680</v>
      </c>
      <c r="C32" s="1976" t="s">
        <v>681</v>
      </c>
      <c r="D32" s="1975" t="s">
        <v>620</v>
      </c>
      <c r="E32" s="1979" t="s">
        <v>631</v>
      </c>
      <c r="F32" s="1979" t="s">
        <v>631</v>
      </c>
      <c r="H32" s="1944"/>
      <c r="I32" s="1602">
        <v>13</v>
      </c>
      <c r="J32" s="1945" t="s">
        <v>682</v>
      </c>
      <c r="K32" s="1941" t="s">
        <v>602</v>
      </c>
      <c r="L32" s="664"/>
      <c r="M32" s="494"/>
      <c r="N32" s="664"/>
      <c r="O32" s="480"/>
      <c r="P32" s="1452" t="s">
        <v>642</v>
      </c>
      <c r="Q32" s="480"/>
      <c r="AL32" s="1558">
        <v>46</v>
      </c>
    </row>
    <row r="33" spans="1:38" s="1293" customFormat="1" ht="48.2" customHeight="1">
      <c r="A33" s="1977"/>
      <c r="B33" s="1976" t="s">
        <v>683</v>
      </c>
      <c r="C33" s="1976" t="s">
        <v>684</v>
      </c>
      <c r="D33" s="1975" t="s">
        <v>620</v>
      </c>
      <c r="E33" s="1979" t="s">
        <v>631</v>
      </c>
      <c r="F33" s="1979" t="s">
        <v>631</v>
      </c>
      <c r="G33" s="1563"/>
      <c r="H33" s="1944"/>
      <c r="I33" s="1602">
        <v>14</v>
      </c>
      <c r="J33" s="1957" t="s">
        <v>685</v>
      </c>
      <c r="K33" s="1946" t="s">
        <v>686</v>
      </c>
      <c r="L33" s="664"/>
      <c r="M33" s="494"/>
      <c r="N33" s="664"/>
      <c r="O33" s="480"/>
      <c r="P33" s="1452" t="s">
        <v>642</v>
      </c>
      <c r="Q33" s="480"/>
      <c r="R33" s="1563"/>
      <c r="S33" s="1563"/>
      <c r="X33" s="1563"/>
      <c r="AA33" s="481"/>
      <c r="AG33" s="1559"/>
      <c r="AH33" s="1559"/>
      <c r="AI33" s="1559"/>
      <c r="AJ33" s="1559"/>
      <c r="AK33" s="1559"/>
      <c r="AL33" s="1293">
        <v>46</v>
      </c>
    </row>
    <row r="34" spans="1:38" ht="108" customHeight="1">
      <c r="A34" s="1977"/>
      <c r="B34" s="1976" t="s">
        <v>687</v>
      </c>
      <c r="C34" s="1976" t="s">
        <v>688</v>
      </c>
      <c r="D34" s="1975" t="s">
        <v>630</v>
      </c>
      <c r="E34" s="1979" t="s">
        <v>631</v>
      </c>
      <c r="F34" s="1979" t="s">
        <v>631</v>
      </c>
      <c r="G34" s="1563" t="s">
        <v>590</v>
      </c>
      <c r="H34" s="1944"/>
      <c r="I34" s="1955">
        <v>15</v>
      </c>
      <c r="J34" s="1956" t="s">
        <v>689</v>
      </c>
      <c r="K34" s="1941" t="s">
        <v>308</v>
      </c>
      <c r="L34" s="322"/>
      <c r="M34" s="1091"/>
      <c r="N34" s="322"/>
      <c r="O34" s="480"/>
      <c r="P34" s="1452" t="s">
        <v>634</v>
      </c>
      <c r="Q34" s="480"/>
      <c r="AL34" s="1558">
        <v>103</v>
      </c>
    </row>
    <row r="35" spans="1:38" s="1568" customFormat="1" ht="11.45" customHeight="1">
      <c r="A35" s="917"/>
      <c r="B35" s="917"/>
      <c r="C35" s="917"/>
      <c r="D35" s="917"/>
      <c r="E35" s="917"/>
      <c r="F35" s="1563"/>
      <c r="G35" s="1563"/>
      <c r="H35" s="288"/>
      <c r="O35" s="1293"/>
      <c r="Q35" s="1293"/>
      <c r="R35" s="1563"/>
      <c r="S35" s="1563"/>
      <c r="T35" s="1293"/>
      <c r="U35" s="1293"/>
      <c r="V35" s="1293"/>
      <c r="W35" s="1293"/>
      <c r="X35" s="1563"/>
      <c r="Y35" s="1293"/>
      <c r="Z35" s="1293"/>
      <c r="AA35" s="481"/>
      <c r="AB35" s="1293"/>
      <c r="AC35" s="1293"/>
      <c r="AD35" s="1293"/>
      <c r="AE35" s="1293"/>
      <c r="AF35" s="1293"/>
      <c r="AG35" s="1559"/>
      <c r="AH35" s="559"/>
      <c r="AI35" s="559"/>
      <c r="AJ35" s="559"/>
      <c r="AK35" s="559"/>
      <c r="AL35" s="1568">
        <v>11</v>
      </c>
    </row>
    <row r="36" spans="1:38" s="1568" customFormat="1" ht="11.45" customHeight="1">
      <c r="A36" s="917"/>
      <c r="B36" s="917"/>
      <c r="C36" s="917"/>
      <c r="D36" s="917"/>
      <c r="E36" s="917"/>
      <c r="F36" s="1563"/>
      <c r="G36" s="1563"/>
      <c r="H36" s="288"/>
      <c r="O36" s="1293"/>
      <c r="Q36" s="1293"/>
      <c r="R36" s="1563"/>
      <c r="S36" s="1563"/>
      <c r="T36" s="1293"/>
      <c r="U36" s="1293"/>
      <c r="V36" s="1293"/>
      <c r="W36" s="1293"/>
      <c r="X36" s="1563"/>
      <c r="Y36" s="1293"/>
      <c r="Z36" s="1293"/>
      <c r="AA36" s="481"/>
      <c r="AB36" s="1293"/>
      <c r="AC36" s="1293"/>
      <c r="AD36" s="1293"/>
      <c r="AE36" s="1293"/>
      <c r="AF36" s="1293"/>
      <c r="AG36" s="1559"/>
      <c r="AH36" s="559"/>
      <c r="AI36" s="559"/>
      <c r="AJ36" s="559"/>
      <c r="AK36" s="559"/>
      <c r="AL36" s="1568">
        <v>11</v>
      </c>
    </row>
    <row r="37" spans="1:38" s="1568" customFormat="1" ht="11.45" customHeight="1">
      <c r="A37" s="917"/>
      <c r="B37" s="917"/>
      <c r="C37" s="917"/>
      <c r="D37" s="917"/>
      <c r="E37" s="917"/>
      <c r="F37" s="1563"/>
      <c r="G37" s="1563"/>
      <c r="H37" s="288"/>
      <c r="L37" s="559"/>
      <c r="M37" s="559"/>
      <c r="N37" s="559"/>
      <c r="O37" s="1293"/>
      <c r="Q37" s="1293"/>
      <c r="R37" s="1563"/>
      <c r="S37" s="1563"/>
      <c r="T37" s="1293"/>
      <c r="U37" s="1293"/>
      <c r="V37" s="1293"/>
      <c r="W37" s="1293"/>
      <c r="X37" s="1563"/>
      <c r="Y37" s="1293"/>
      <c r="Z37" s="1293"/>
      <c r="AA37" s="481"/>
      <c r="AB37" s="1293"/>
      <c r="AC37" s="1293"/>
      <c r="AD37" s="1293"/>
      <c r="AE37" s="1293"/>
      <c r="AF37" s="1293"/>
      <c r="AG37" s="1559"/>
      <c r="AH37" s="559"/>
      <c r="AI37" s="559"/>
      <c r="AJ37" s="559"/>
      <c r="AK37" s="559"/>
      <c r="AL37" s="1568">
        <v>11</v>
      </c>
    </row>
    <row r="38" spans="1:38" s="1568" customFormat="1" ht="11.45" customHeight="1">
      <c r="A38" s="917"/>
      <c r="B38" s="917"/>
      <c r="C38" s="917"/>
      <c r="D38" s="917"/>
      <c r="E38" s="917"/>
      <c r="F38" s="1563"/>
      <c r="G38" s="1563"/>
      <c r="H38" s="288"/>
      <c r="O38" s="1293"/>
      <c r="Q38" s="1293"/>
      <c r="R38" s="1563"/>
      <c r="S38" s="1563"/>
      <c r="T38" s="1293"/>
      <c r="U38" s="1293"/>
      <c r="V38" s="1293"/>
      <c r="W38" s="1293"/>
      <c r="X38" s="1563"/>
      <c r="Y38" s="1293"/>
      <c r="Z38" s="1293"/>
      <c r="AA38" s="481"/>
      <c r="AB38" s="1293"/>
      <c r="AC38" s="1293"/>
      <c r="AD38" s="1293"/>
      <c r="AE38" s="1293"/>
      <c r="AF38" s="1293"/>
      <c r="AG38" s="1559"/>
      <c r="AH38" s="559"/>
      <c r="AI38" s="559"/>
      <c r="AJ38" s="559"/>
      <c r="AK38" s="559"/>
      <c r="AL38" s="1568">
        <v>11</v>
      </c>
    </row>
    <row r="39" spans="1:38" s="1568" customFormat="1" ht="11.45" customHeight="1">
      <c r="A39" s="917"/>
      <c r="B39" s="917"/>
      <c r="C39" s="917"/>
      <c r="D39" s="917"/>
      <c r="E39" s="917"/>
      <c r="F39" s="1563"/>
      <c r="G39" s="1563"/>
      <c r="H39" s="288"/>
      <c r="O39" s="1293"/>
      <c r="Q39" s="1293"/>
      <c r="R39" s="1563"/>
      <c r="S39" s="1563"/>
      <c r="T39" s="1293"/>
      <c r="U39" s="1293"/>
      <c r="V39" s="1293"/>
      <c r="W39" s="1293"/>
      <c r="X39" s="1563"/>
      <c r="Y39" s="1293"/>
      <c r="Z39" s="1293"/>
      <c r="AA39" s="481"/>
      <c r="AB39" s="1293"/>
      <c r="AC39" s="1293"/>
      <c r="AD39" s="1293"/>
      <c r="AE39" s="1293"/>
      <c r="AF39" s="1293"/>
      <c r="AG39" s="1559"/>
      <c r="AH39" s="559"/>
      <c r="AI39" s="559"/>
      <c r="AJ39" s="559"/>
      <c r="AK39" s="559"/>
      <c r="AL39" s="1568">
        <v>11</v>
      </c>
    </row>
    <row r="40" spans="1:38" s="1568" customFormat="1" ht="11.45" customHeight="1">
      <c r="A40" s="917"/>
      <c r="B40" s="917"/>
      <c r="C40" s="917"/>
      <c r="D40" s="917"/>
      <c r="E40" s="917"/>
      <c r="F40" s="1563"/>
      <c r="G40" s="1563"/>
      <c r="H40" s="288"/>
      <c r="O40" s="1293"/>
      <c r="Q40" s="1293"/>
      <c r="R40" s="1563"/>
      <c r="S40" s="1563"/>
      <c r="T40" s="1293"/>
      <c r="U40" s="1293"/>
      <c r="V40" s="1293"/>
      <c r="W40" s="1293"/>
      <c r="X40" s="1563"/>
      <c r="Y40" s="1293"/>
      <c r="Z40" s="1293"/>
      <c r="AA40" s="481"/>
      <c r="AB40" s="1293"/>
      <c r="AC40" s="1293"/>
      <c r="AD40" s="1293"/>
      <c r="AE40" s="1293"/>
      <c r="AF40" s="1293"/>
      <c r="AG40" s="1559"/>
      <c r="AH40" s="559"/>
      <c r="AI40" s="559"/>
      <c r="AJ40" s="559"/>
      <c r="AK40" s="559"/>
      <c r="AL40" s="1568">
        <v>11</v>
      </c>
    </row>
    <row r="41" spans="1:38" s="1568" customFormat="1" ht="11.45" customHeight="1">
      <c r="A41" s="917"/>
      <c r="B41" s="917"/>
      <c r="C41" s="917"/>
      <c r="D41" s="917"/>
      <c r="E41" s="917"/>
      <c r="F41" s="1563"/>
      <c r="G41" s="1563"/>
      <c r="H41" s="288"/>
      <c r="O41" s="1293"/>
      <c r="Q41" s="1293"/>
      <c r="R41" s="1563"/>
      <c r="S41" s="1563"/>
      <c r="T41" s="1293"/>
      <c r="U41" s="1293"/>
      <c r="V41" s="1293"/>
      <c r="W41" s="1293"/>
      <c r="X41" s="1563"/>
      <c r="Y41" s="1293"/>
      <c r="Z41" s="1293"/>
      <c r="AA41" s="481"/>
      <c r="AB41" s="1293"/>
      <c r="AC41" s="1293"/>
      <c r="AD41" s="1293"/>
      <c r="AE41" s="1293"/>
      <c r="AF41" s="1293"/>
      <c r="AG41" s="1559"/>
      <c r="AH41" s="559"/>
      <c r="AI41" s="559"/>
      <c r="AJ41" s="559"/>
      <c r="AK41" s="559"/>
      <c r="AL41" s="1568">
        <v>11</v>
      </c>
    </row>
    <row r="42" spans="1:38" s="1568" customFormat="1" ht="11.45" customHeight="1">
      <c r="A42" s="917"/>
      <c r="B42" s="917"/>
      <c r="C42" s="917"/>
      <c r="D42" s="917"/>
      <c r="E42" s="917"/>
      <c r="F42" s="1563"/>
      <c r="G42" s="1563"/>
      <c r="H42" s="288"/>
      <c r="O42" s="1293"/>
      <c r="Q42" s="1293"/>
      <c r="R42" s="1563"/>
      <c r="S42" s="1563"/>
      <c r="T42" s="1293"/>
      <c r="U42" s="1293"/>
      <c r="V42" s="1293"/>
      <c r="W42" s="1293"/>
      <c r="X42" s="1563"/>
      <c r="Y42" s="1293"/>
      <c r="Z42" s="1293"/>
      <c r="AA42" s="481"/>
      <c r="AB42" s="1293"/>
      <c r="AC42" s="1293"/>
      <c r="AD42" s="1293"/>
      <c r="AE42" s="1293"/>
      <c r="AF42" s="1293"/>
      <c r="AG42" s="1559"/>
      <c r="AH42" s="559"/>
      <c r="AI42" s="559"/>
      <c r="AJ42" s="559"/>
      <c r="AK42" s="559"/>
      <c r="AL42" s="1568">
        <v>11</v>
      </c>
    </row>
    <row r="43" spans="1:38" s="1568" customFormat="1" ht="11.45" customHeight="1">
      <c r="A43" s="917"/>
      <c r="B43" s="917"/>
      <c r="C43" s="917"/>
      <c r="D43" s="917"/>
      <c r="E43" s="917"/>
      <c r="F43" s="1563"/>
      <c r="G43" s="1563"/>
      <c r="H43" s="288"/>
      <c r="O43" s="1293"/>
      <c r="Q43" s="1293"/>
      <c r="R43" s="1563"/>
      <c r="S43" s="1563"/>
      <c r="T43" s="1293"/>
      <c r="U43" s="1293"/>
      <c r="V43" s="1293"/>
      <c r="W43" s="1293"/>
      <c r="X43" s="1563"/>
      <c r="Y43" s="1293"/>
      <c r="Z43" s="1293"/>
      <c r="AA43" s="481"/>
      <c r="AB43" s="1293"/>
      <c r="AC43" s="1293"/>
      <c r="AD43" s="1293"/>
      <c r="AE43" s="1293"/>
      <c r="AF43" s="1293"/>
      <c r="AG43" s="1559"/>
      <c r="AH43" s="559"/>
      <c r="AI43" s="559"/>
      <c r="AJ43" s="559"/>
      <c r="AK43" s="559"/>
      <c r="AL43" s="1568">
        <v>11</v>
      </c>
    </row>
    <row r="44" spans="1:38" s="1568" customFormat="1" ht="11.45" customHeight="1">
      <c r="A44" s="917"/>
      <c r="B44" s="917"/>
      <c r="C44" s="917"/>
      <c r="D44" s="917"/>
      <c r="E44" s="917"/>
      <c r="F44" s="1563"/>
      <c r="G44" s="1563"/>
      <c r="H44" s="288"/>
      <c r="O44" s="1293"/>
      <c r="Q44" s="1293"/>
      <c r="R44" s="1563"/>
      <c r="S44" s="1563"/>
      <c r="T44" s="1293"/>
      <c r="U44" s="1293"/>
      <c r="V44" s="1293"/>
      <c r="W44" s="1293"/>
      <c r="X44" s="1563"/>
      <c r="Y44" s="1293"/>
      <c r="Z44" s="1293"/>
      <c r="AA44" s="481"/>
      <c r="AB44" s="1293"/>
      <c r="AC44" s="1293"/>
      <c r="AD44" s="1293"/>
      <c r="AE44" s="1293"/>
      <c r="AF44" s="1293"/>
      <c r="AG44" s="1559"/>
      <c r="AH44" s="559"/>
      <c r="AI44" s="559"/>
      <c r="AJ44" s="559"/>
      <c r="AK44" s="559"/>
      <c r="AL44" s="1568">
        <v>11</v>
      </c>
    </row>
    <row r="45" spans="1:38" s="1568" customFormat="1" ht="11.45" customHeight="1">
      <c r="A45" s="917"/>
      <c r="B45" s="917"/>
      <c r="C45" s="917"/>
      <c r="D45" s="917"/>
      <c r="E45" s="917"/>
      <c r="F45" s="1563"/>
      <c r="G45" s="1563"/>
      <c r="H45" s="288"/>
      <c r="O45" s="1293"/>
      <c r="Q45" s="1293"/>
      <c r="R45" s="1563"/>
      <c r="S45" s="1563"/>
      <c r="T45" s="1293"/>
      <c r="U45" s="1293"/>
      <c r="V45" s="1293"/>
      <c r="W45" s="1293"/>
      <c r="X45" s="1563"/>
      <c r="Y45" s="1293"/>
      <c r="Z45" s="1293"/>
      <c r="AA45" s="481"/>
      <c r="AB45" s="1293"/>
      <c r="AC45" s="1293"/>
      <c r="AD45" s="1293"/>
      <c r="AE45" s="1293"/>
      <c r="AF45" s="1293"/>
      <c r="AG45" s="1559"/>
      <c r="AH45" s="559"/>
      <c r="AI45" s="559"/>
      <c r="AJ45" s="559"/>
      <c r="AK45" s="559"/>
      <c r="AL45" s="1568">
        <v>11</v>
      </c>
    </row>
    <row r="46" spans="1:38" s="1568" customFormat="1" ht="11.45" customHeight="1">
      <c r="A46" s="917"/>
      <c r="B46" s="917"/>
      <c r="C46" s="917"/>
      <c r="D46" s="917"/>
      <c r="E46" s="917"/>
      <c r="F46" s="1563"/>
      <c r="G46" s="1563"/>
      <c r="H46" s="288"/>
      <c r="O46" s="1293"/>
      <c r="Q46" s="1293"/>
      <c r="R46" s="1563"/>
      <c r="S46" s="1563"/>
      <c r="T46" s="1293"/>
      <c r="U46" s="1293"/>
      <c r="V46" s="1293"/>
      <c r="W46" s="1293"/>
      <c r="X46" s="1563"/>
      <c r="Y46" s="1293"/>
      <c r="Z46" s="1293"/>
      <c r="AA46" s="481"/>
      <c r="AB46" s="1293"/>
      <c r="AC46" s="1293"/>
      <c r="AD46" s="1293"/>
      <c r="AE46" s="1293"/>
      <c r="AF46" s="1293"/>
      <c r="AG46" s="1559"/>
      <c r="AH46" s="559"/>
      <c r="AI46" s="559"/>
      <c r="AJ46" s="559"/>
      <c r="AK46" s="559"/>
      <c r="AL46" s="1568">
        <v>11</v>
      </c>
    </row>
    <row r="47" spans="1:38" s="1568" customFormat="1" ht="11.45" customHeight="1">
      <c r="A47" s="917"/>
      <c r="B47" s="917"/>
      <c r="C47" s="917"/>
      <c r="D47" s="917"/>
      <c r="E47" s="917"/>
      <c r="F47" s="1563"/>
      <c r="G47" s="1563"/>
      <c r="H47" s="288"/>
      <c r="O47" s="1293"/>
      <c r="Q47" s="1293"/>
      <c r="R47" s="1563"/>
      <c r="S47" s="1563"/>
      <c r="T47" s="1293"/>
      <c r="U47" s="1293"/>
      <c r="V47" s="1293"/>
      <c r="W47" s="1293"/>
      <c r="X47" s="1563"/>
      <c r="Y47" s="1293"/>
      <c r="Z47" s="1293"/>
      <c r="AA47" s="481"/>
      <c r="AB47" s="1293"/>
      <c r="AC47" s="1293"/>
      <c r="AD47" s="1293"/>
      <c r="AE47" s="1293"/>
      <c r="AF47" s="1293"/>
      <c r="AG47" s="1559"/>
      <c r="AH47" s="559"/>
      <c r="AI47" s="559"/>
      <c r="AJ47" s="559"/>
      <c r="AK47" s="559"/>
      <c r="AL47" s="1568">
        <v>11</v>
      </c>
    </row>
    <row r="48" spans="1:38" s="1568" customFormat="1" ht="11.45" customHeight="1">
      <c r="A48" s="917"/>
      <c r="B48" s="917"/>
      <c r="C48" s="917"/>
      <c r="D48" s="917"/>
      <c r="E48" s="917"/>
      <c r="F48" s="1563"/>
      <c r="G48" s="1563"/>
      <c r="H48" s="288"/>
      <c r="O48" s="1293"/>
      <c r="Q48" s="1293"/>
      <c r="R48" s="1563"/>
      <c r="S48" s="1563"/>
      <c r="T48" s="1293"/>
      <c r="U48" s="1293"/>
      <c r="V48" s="1293"/>
      <c r="W48" s="1293"/>
      <c r="X48" s="1563"/>
      <c r="Y48" s="1293"/>
      <c r="Z48" s="1293"/>
      <c r="AA48" s="481"/>
      <c r="AB48" s="1293"/>
      <c r="AC48" s="1293"/>
      <c r="AD48" s="1293"/>
      <c r="AE48" s="1293"/>
      <c r="AF48" s="1293"/>
      <c r="AG48" s="1559"/>
      <c r="AH48" s="559"/>
      <c r="AI48" s="559"/>
      <c r="AJ48" s="559"/>
      <c r="AK48" s="559"/>
      <c r="AL48" s="1568">
        <v>11</v>
      </c>
    </row>
    <row r="49" spans="1:38" s="1568" customFormat="1" ht="11.45" customHeight="1">
      <c r="A49" s="917"/>
      <c r="B49" s="917"/>
      <c r="C49" s="917"/>
      <c r="D49" s="917"/>
      <c r="E49" s="917"/>
      <c r="F49" s="1563"/>
      <c r="G49" s="1563"/>
      <c r="H49" s="288"/>
      <c r="O49" s="1293"/>
      <c r="Q49" s="1293"/>
      <c r="R49" s="1563"/>
      <c r="S49" s="1563"/>
      <c r="T49" s="1293"/>
      <c r="U49" s="1293"/>
      <c r="V49" s="1293"/>
      <c r="W49" s="1293"/>
      <c r="X49" s="1563"/>
      <c r="Y49" s="1293"/>
      <c r="Z49" s="1293"/>
      <c r="AA49" s="481"/>
      <c r="AB49" s="1293"/>
      <c r="AC49" s="1293"/>
      <c r="AD49" s="1293"/>
      <c r="AE49" s="1293"/>
      <c r="AF49" s="1293"/>
      <c r="AG49" s="1559"/>
      <c r="AH49" s="559"/>
      <c r="AI49" s="559"/>
      <c r="AJ49" s="559"/>
      <c r="AK49" s="559"/>
      <c r="AL49" s="1568">
        <v>11</v>
      </c>
    </row>
    <row r="50" spans="1:38" s="1568" customFormat="1" ht="11.45" customHeight="1">
      <c r="A50" s="917"/>
      <c r="B50" s="917"/>
      <c r="C50" s="917"/>
      <c r="D50" s="917"/>
      <c r="E50" s="917"/>
      <c r="F50" s="1563"/>
      <c r="G50" s="1563"/>
      <c r="H50" s="288"/>
      <c r="O50" s="1293"/>
      <c r="Q50" s="1293"/>
      <c r="R50" s="1563"/>
      <c r="S50" s="1563"/>
      <c r="T50" s="1293"/>
      <c r="U50" s="1293"/>
      <c r="V50" s="1293"/>
      <c r="W50" s="1293"/>
      <c r="X50" s="1563"/>
      <c r="Y50" s="1293"/>
      <c r="Z50" s="1293"/>
      <c r="AA50" s="481"/>
      <c r="AB50" s="1293"/>
      <c r="AC50" s="1293"/>
      <c r="AD50" s="1293"/>
      <c r="AE50" s="1293"/>
      <c r="AF50" s="1293"/>
      <c r="AG50" s="1559"/>
      <c r="AH50" s="559"/>
      <c r="AI50" s="559"/>
      <c r="AJ50" s="559"/>
      <c r="AK50" s="559"/>
      <c r="AL50" s="1568">
        <v>11</v>
      </c>
    </row>
    <row r="51" spans="1:38" s="1568" customFormat="1" ht="11.45" customHeight="1">
      <c r="A51" s="917"/>
      <c r="B51" s="917"/>
      <c r="C51" s="917"/>
      <c r="D51" s="917"/>
      <c r="E51" s="917"/>
      <c r="F51" s="1563"/>
      <c r="G51" s="1563"/>
      <c r="H51" s="288"/>
      <c r="O51" s="1293"/>
      <c r="Q51" s="1293"/>
      <c r="R51" s="1563"/>
      <c r="S51" s="1563"/>
      <c r="T51" s="1293"/>
      <c r="U51" s="1293"/>
      <c r="V51" s="1293"/>
      <c r="W51" s="1293"/>
      <c r="X51" s="1563"/>
      <c r="Y51" s="1293"/>
      <c r="Z51" s="1293"/>
      <c r="AA51" s="481"/>
      <c r="AB51" s="1293"/>
      <c r="AC51" s="1293"/>
      <c r="AD51" s="1293"/>
      <c r="AE51" s="1293"/>
      <c r="AF51" s="1293"/>
      <c r="AG51" s="1559"/>
      <c r="AH51" s="559"/>
      <c r="AI51" s="559"/>
      <c r="AJ51" s="559"/>
      <c r="AK51" s="559"/>
      <c r="AL51" s="1568">
        <v>11</v>
      </c>
    </row>
    <row r="52" spans="1:38" s="1568" customFormat="1" ht="11.45" customHeight="1">
      <c r="A52" s="917"/>
      <c r="B52" s="917"/>
      <c r="C52" s="917"/>
      <c r="D52" s="917"/>
      <c r="E52" s="917"/>
      <c r="F52" s="1563"/>
      <c r="G52" s="1563"/>
      <c r="H52" s="288"/>
      <c r="O52" s="1293"/>
      <c r="Q52" s="1293"/>
      <c r="R52" s="1563"/>
      <c r="S52" s="1563"/>
      <c r="T52" s="1293"/>
      <c r="U52" s="1293"/>
      <c r="V52" s="1293"/>
      <c r="W52" s="1293"/>
      <c r="X52" s="1563"/>
      <c r="Y52" s="1293"/>
      <c r="Z52" s="1293"/>
      <c r="AA52" s="481"/>
      <c r="AB52" s="1293"/>
      <c r="AC52" s="1293"/>
      <c r="AD52" s="1293"/>
      <c r="AE52" s="1293"/>
      <c r="AF52" s="1293"/>
      <c r="AG52" s="1559"/>
      <c r="AH52" s="559"/>
      <c r="AI52" s="559"/>
      <c r="AJ52" s="559"/>
      <c r="AK52" s="559"/>
      <c r="AL52" s="1568">
        <v>11</v>
      </c>
    </row>
    <row r="53" spans="1:38" s="1568" customFormat="1" ht="11.45" customHeight="1">
      <c r="A53" s="917"/>
      <c r="B53" s="917"/>
      <c r="C53" s="917"/>
      <c r="D53" s="917"/>
      <c r="E53" s="917"/>
      <c r="F53" s="1563"/>
      <c r="G53" s="1563"/>
      <c r="H53" s="288"/>
      <c r="O53" s="1293"/>
      <c r="Q53" s="1293"/>
      <c r="R53" s="1563"/>
      <c r="S53" s="1563"/>
      <c r="T53" s="1293"/>
      <c r="U53" s="1293"/>
      <c r="V53" s="1293"/>
      <c r="W53" s="1293"/>
      <c r="X53" s="1563"/>
      <c r="Y53" s="1293"/>
      <c r="Z53" s="1293"/>
      <c r="AA53" s="481"/>
      <c r="AB53" s="1293"/>
      <c r="AC53" s="1293"/>
      <c r="AD53" s="1293"/>
      <c r="AE53" s="1293"/>
      <c r="AF53" s="1293"/>
      <c r="AG53" s="1559"/>
      <c r="AH53" s="559"/>
      <c r="AI53" s="559"/>
      <c r="AJ53" s="559"/>
      <c r="AK53" s="559"/>
      <c r="AL53" s="1568">
        <v>11</v>
      </c>
    </row>
    <row r="54" spans="1:38" s="1568" customFormat="1" ht="11.45" customHeight="1">
      <c r="A54" s="917"/>
      <c r="B54" s="917"/>
      <c r="C54" s="917"/>
      <c r="D54" s="917"/>
      <c r="E54" s="917"/>
      <c r="F54" s="1563"/>
      <c r="G54" s="1563"/>
      <c r="H54" s="288"/>
      <c r="O54" s="1293"/>
      <c r="Q54" s="1293"/>
      <c r="R54" s="1563"/>
      <c r="S54" s="1563"/>
      <c r="T54" s="1293"/>
      <c r="U54" s="1293"/>
      <c r="V54" s="1293"/>
      <c r="W54" s="1293"/>
      <c r="X54" s="1563"/>
      <c r="Y54" s="1293"/>
      <c r="Z54" s="1293"/>
      <c r="AA54" s="481"/>
      <c r="AB54" s="1293"/>
      <c r="AC54" s="1293"/>
      <c r="AD54" s="1293"/>
      <c r="AE54" s="1293"/>
      <c r="AF54" s="1293"/>
      <c r="AG54" s="1559"/>
      <c r="AH54" s="559"/>
      <c r="AI54" s="559"/>
      <c r="AJ54" s="559"/>
      <c r="AK54" s="559"/>
      <c r="AL54" s="1568">
        <v>11</v>
      </c>
    </row>
    <row r="55" spans="1:38" s="1568" customFormat="1" ht="11.45" customHeight="1">
      <c r="A55" s="917"/>
      <c r="B55" s="917"/>
      <c r="C55" s="917"/>
      <c r="D55" s="917"/>
      <c r="E55" s="917"/>
      <c r="F55" s="1563"/>
      <c r="G55" s="1563"/>
      <c r="H55" s="288"/>
      <c r="O55" s="1293"/>
      <c r="Q55" s="1293"/>
      <c r="R55" s="1563"/>
      <c r="S55" s="1563"/>
      <c r="T55" s="1293"/>
      <c r="U55" s="1293"/>
      <c r="V55" s="1293"/>
      <c r="W55" s="1293"/>
      <c r="X55" s="1563"/>
      <c r="Y55" s="1293"/>
      <c r="Z55" s="1293"/>
      <c r="AA55" s="481"/>
      <c r="AB55" s="1293"/>
      <c r="AC55" s="1293"/>
      <c r="AD55" s="1293"/>
      <c r="AE55" s="1293"/>
      <c r="AF55" s="1293"/>
      <c r="AG55" s="1559"/>
      <c r="AH55" s="559"/>
      <c r="AI55" s="559"/>
      <c r="AJ55" s="559"/>
      <c r="AK55" s="559"/>
      <c r="AL55" s="1568">
        <v>11</v>
      </c>
    </row>
    <row r="56" spans="1:38" s="1568" customFormat="1" ht="11.45" customHeight="1">
      <c r="A56" s="917"/>
      <c r="B56" s="917"/>
      <c r="C56" s="917"/>
      <c r="D56" s="917"/>
      <c r="E56" s="917"/>
      <c r="F56" s="1563"/>
      <c r="G56" s="1563"/>
      <c r="H56" s="288"/>
      <c r="O56" s="1293"/>
      <c r="Q56" s="1293"/>
      <c r="R56" s="1563"/>
      <c r="S56" s="1563"/>
      <c r="T56" s="1293"/>
      <c r="U56" s="1293"/>
      <c r="V56" s="1293"/>
      <c r="W56" s="1293"/>
      <c r="X56" s="1563"/>
      <c r="Y56" s="1293"/>
      <c r="Z56" s="1293"/>
      <c r="AA56" s="481"/>
      <c r="AB56" s="1293"/>
      <c r="AC56" s="1293"/>
      <c r="AD56" s="1293"/>
      <c r="AE56" s="1293"/>
      <c r="AF56" s="1293"/>
      <c r="AG56" s="1559"/>
      <c r="AH56" s="559"/>
      <c r="AI56" s="559"/>
      <c r="AJ56" s="559"/>
      <c r="AK56" s="559"/>
      <c r="AL56" s="1568">
        <v>11</v>
      </c>
    </row>
    <row r="57" spans="1:38" s="1568" customFormat="1" ht="11.45" customHeight="1">
      <c r="A57" s="917"/>
      <c r="B57" s="917"/>
      <c r="C57" s="917"/>
      <c r="D57" s="917"/>
      <c r="E57" s="917"/>
      <c r="F57" s="1563"/>
      <c r="G57" s="1563"/>
      <c r="H57" s="288"/>
      <c r="O57" s="1293"/>
      <c r="Q57" s="1293"/>
      <c r="R57" s="1563"/>
      <c r="S57" s="1563"/>
      <c r="T57" s="1293"/>
      <c r="U57" s="1293"/>
      <c r="V57" s="1293"/>
      <c r="W57" s="1293"/>
      <c r="X57" s="1563"/>
      <c r="Y57" s="1293"/>
      <c r="Z57" s="1293"/>
      <c r="AA57" s="481"/>
      <c r="AB57" s="1293"/>
      <c r="AC57" s="1293"/>
      <c r="AD57" s="1293"/>
      <c r="AE57" s="1293"/>
      <c r="AF57" s="1293"/>
      <c r="AG57" s="1559"/>
      <c r="AH57" s="559"/>
      <c r="AI57" s="559"/>
      <c r="AJ57" s="559"/>
      <c r="AK57" s="559"/>
      <c r="AL57" s="1568">
        <v>11</v>
      </c>
    </row>
    <row r="58" spans="1:38" s="1568" customFormat="1" ht="11.45" customHeight="1">
      <c r="A58" s="917"/>
      <c r="B58" s="917"/>
      <c r="C58" s="917"/>
      <c r="D58" s="917"/>
      <c r="E58" s="917"/>
      <c r="F58" s="1563"/>
      <c r="G58" s="1563"/>
      <c r="H58" s="288"/>
      <c r="O58" s="1293"/>
      <c r="Q58" s="1293"/>
      <c r="R58" s="1563"/>
      <c r="S58" s="1563"/>
      <c r="T58" s="1293"/>
      <c r="U58" s="1293"/>
      <c r="V58" s="1293"/>
      <c r="W58" s="1293"/>
      <c r="X58" s="1563"/>
      <c r="Y58" s="1293"/>
      <c r="Z58" s="1293"/>
      <c r="AA58" s="481"/>
      <c r="AB58" s="1293"/>
      <c r="AC58" s="1293"/>
      <c r="AD58" s="1293"/>
      <c r="AE58" s="1293"/>
      <c r="AF58" s="1293"/>
      <c r="AG58" s="1559"/>
      <c r="AH58" s="559"/>
      <c r="AI58" s="559"/>
      <c r="AJ58" s="559"/>
      <c r="AK58" s="559"/>
      <c r="AL58" s="1568">
        <v>11</v>
      </c>
    </row>
    <row r="59" spans="1:38" s="1568" customFormat="1" ht="11.45" customHeight="1">
      <c r="A59" s="917"/>
      <c r="B59" s="917"/>
      <c r="C59" s="917"/>
      <c r="D59" s="917"/>
      <c r="E59" s="917"/>
      <c r="F59" s="1563"/>
      <c r="G59" s="1563"/>
      <c r="H59" s="288"/>
      <c r="O59" s="1293"/>
      <c r="Q59" s="1293"/>
      <c r="R59" s="1563"/>
      <c r="S59" s="1563"/>
      <c r="T59" s="1293"/>
      <c r="U59" s="1293"/>
      <c r="V59" s="1293"/>
      <c r="W59" s="1293"/>
      <c r="X59" s="1563"/>
      <c r="Y59" s="1293"/>
      <c r="Z59" s="1293"/>
      <c r="AA59" s="481"/>
      <c r="AB59" s="1293"/>
      <c r="AC59" s="1293"/>
      <c r="AD59" s="1293"/>
      <c r="AE59" s="1293"/>
      <c r="AF59" s="1293"/>
      <c r="AG59" s="1559"/>
      <c r="AH59" s="559"/>
      <c r="AI59" s="559"/>
      <c r="AJ59" s="559"/>
      <c r="AK59" s="559"/>
      <c r="AL59" s="1568">
        <v>11</v>
      </c>
    </row>
    <row r="60" spans="1:38" s="1568" customFormat="1" ht="11.45" customHeight="1">
      <c r="A60" s="917"/>
      <c r="B60" s="917"/>
      <c r="C60" s="917"/>
      <c r="D60" s="917"/>
      <c r="E60" s="917"/>
      <c r="F60" s="1563"/>
      <c r="G60" s="1563"/>
      <c r="H60" s="288"/>
      <c r="O60" s="1293"/>
      <c r="Q60" s="1293"/>
      <c r="R60" s="1563"/>
      <c r="S60" s="1563"/>
      <c r="T60" s="1293"/>
      <c r="U60" s="1293"/>
      <c r="V60" s="1293"/>
      <c r="W60" s="1293"/>
      <c r="X60" s="1563"/>
      <c r="Y60" s="1293"/>
      <c r="Z60" s="1293"/>
      <c r="AA60" s="481"/>
      <c r="AB60" s="1293"/>
      <c r="AC60" s="1293"/>
      <c r="AD60" s="1293"/>
      <c r="AE60" s="1293"/>
      <c r="AF60" s="1293"/>
      <c r="AG60" s="1559"/>
      <c r="AH60" s="559"/>
      <c r="AI60" s="559"/>
      <c r="AJ60" s="559"/>
      <c r="AK60" s="559"/>
      <c r="AL60" s="1568">
        <v>11</v>
      </c>
    </row>
    <row r="61" spans="1:38" s="1568" customFormat="1" ht="11.45" customHeight="1">
      <c r="A61" s="917"/>
      <c r="B61" s="917"/>
      <c r="C61" s="917"/>
      <c r="D61" s="917"/>
      <c r="E61" s="917"/>
      <c r="F61" s="1563"/>
      <c r="G61" s="1563"/>
      <c r="H61" s="288"/>
      <c r="O61" s="1293"/>
      <c r="Q61" s="1293"/>
      <c r="R61" s="1563"/>
      <c r="S61" s="1563"/>
      <c r="T61" s="1293"/>
      <c r="U61" s="1293"/>
      <c r="V61" s="1293"/>
      <c r="W61" s="1293"/>
      <c r="X61" s="1563"/>
      <c r="Y61" s="1293"/>
      <c r="Z61" s="1293"/>
      <c r="AA61" s="481"/>
      <c r="AB61" s="1293"/>
      <c r="AC61" s="1293"/>
      <c r="AD61" s="1293"/>
      <c r="AE61" s="1293"/>
      <c r="AF61" s="1293"/>
      <c r="AG61" s="1559"/>
      <c r="AH61" s="559"/>
      <c r="AI61" s="559"/>
      <c r="AJ61" s="559"/>
      <c r="AK61" s="559"/>
      <c r="AL61" s="1568">
        <v>11</v>
      </c>
    </row>
    <row r="62" spans="1:38" s="1568" customFormat="1" ht="11.45" customHeight="1">
      <c r="A62" s="917"/>
      <c r="B62" s="917"/>
      <c r="C62" s="917"/>
      <c r="D62" s="917"/>
      <c r="E62" s="917"/>
      <c r="F62" s="1563"/>
      <c r="G62" s="1563"/>
      <c r="H62" s="288"/>
      <c r="O62" s="1293"/>
      <c r="Q62" s="1293"/>
      <c r="R62" s="1563"/>
      <c r="S62" s="1563"/>
      <c r="T62" s="1293"/>
      <c r="U62" s="1293"/>
      <c r="V62" s="1293"/>
      <c r="W62" s="1293"/>
      <c r="X62" s="1563"/>
      <c r="Y62" s="1293"/>
      <c r="Z62" s="1293"/>
      <c r="AA62" s="481"/>
      <c r="AB62" s="1293"/>
      <c r="AC62" s="1293"/>
      <c r="AD62" s="1293"/>
      <c r="AE62" s="1293"/>
      <c r="AF62" s="1293"/>
      <c r="AG62" s="1559"/>
      <c r="AH62" s="559"/>
      <c r="AI62" s="559"/>
      <c r="AJ62" s="559"/>
      <c r="AK62" s="559"/>
      <c r="AL62" s="1568">
        <v>11</v>
      </c>
    </row>
    <row r="63" spans="1:38" s="1568" customFormat="1" ht="11.45" customHeight="1">
      <c r="A63" s="917"/>
      <c r="B63" s="917"/>
      <c r="C63" s="917"/>
      <c r="D63" s="917"/>
      <c r="E63" s="917"/>
      <c r="F63" s="1563"/>
      <c r="G63" s="1563"/>
      <c r="H63" s="288"/>
      <c r="O63" s="1293"/>
      <c r="Q63" s="1293"/>
      <c r="R63" s="1563"/>
      <c r="S63" s="1563"/>
      <c r="T63" s="1293"/>
      <c r="U63" s="1293"/>
      <c r="V63" s="1293"/>
      <c r="W63" s="1293"/>
      <c r="X63" s="1563"/>
      <c r="Y63" s="1293"/>
      <c r="Z63" s="1293"/>
      <c r="AA63" s="481"/>
      <c r="AB63" s="1293"/>
      <c r="AC63" s="1293"/>
      <c r="AD63" s="1293"/>
      <c r="AE63" s="1293"/>
      <c r="AF63" s="1293"/>
      <c r="AG63" s="1559"/>
      <c r="AH63" s="559"/>
      <c r="AI63" s="559"/>
      <c r="AJ63" s="559"/>
      <c r="AK63" s="559"/>
      <c r="AL63" s="1568">
        <v>11</v>
      </c>
    </row>
    <row r="64" spans="1:38" s="1568" customFormat="1" ht="11.45" customHeight="1">
      <c r="A64" s="917"/>
      <c r="B64" s="917"/>
      <c r="C64" s="917"/>
      <c r="D64" s="917"/>
      <c r="E64" s="917"/>
      <c r="F64" s="1563"/>
      <c r="G64" s="1563"/>
      <c r="H64" s="288"/>
      <c r="O64" s="1293"/>
      <c r="Q64" s="1293"/>
      <c r="R64" s="1563"/>
      <c r="S64" s="1563"/>
      <c r="T64" s="1293"/>
      <c r="U64" s="1293"/>
      <c r="V64" s="1293"/>
      <c r="W64" s="1293"/>
      <c r="X64" s="1563"/>
      <c r="Y64" s="1293"/>
      <c r="Z64" s="1293"/>
      <c r="AA64" s="481"/>
      <c r="AB64" s="1293"/>
      <c r="AC64" s="1293"/>
      <c r="AD64" s="1293"/>
      <c r="AE64" s="1293"/>
      <c r="AF64" s="1293"/>
      <c r="AG64" s="1559"/>
      <c r="AH64" s="559"/>
      <c r="AI64" s="559"/>
      <c r="AJ64" s="559"/>
      <c r="AK64" s="559"/>
      <c r="AL64" s="1568">
        <v>11</v>
      </c>
    </row>
    <row r="65" spans="1:38" s="1568" customFormat="1" ht="11.45" customHeight="1">
      <c r="A65" s="917"/>
      <c r="B65" s="917"/>
      <c r="C65" s="917"/>
      <c r="D65" s="917"/>
      <c r="E65" s="917"/>
      <c r="F65" s="1563"/>
      <c r="G65" s="1563"/>
      <c r="H65" s="288"/>
      <c r="O65" s="1293"/>
      <c r="Q65" s="1293"/>
      <c r="R65" s="1563"/>
      <c r="S65" s="1563"/>
      <c r="T65" s="1293"/>
      <c r="U65" s="1293"/>
      <c r="V65" s="1293"/>
      <c r="W65" s="1293"/>
      <c r="X65" s="1563"/>
      <c r="Y65" s="1293"/>
      <c r="Z65" s="1293"/>
      <c r="AA65" s="481"/>
      <c r="AB65" s="1293"/>
      <c r="AC65" s="1293"/>
      <c r="AD65" s="1293"/>
      <c r="AE65" s="1293"/>
      <c r="AF65" s="1293"/>
      <c r="AG65" s="1559"/>
      <c r="AH65" s="559"/>
      <c r="AI65" s="559"/>
      <c r="AJ65" s="559"/>
      <c r="AK65" s="559"/>
      <c r="AL65" s="1568">
        <v>11</v>
      </c>
    </row>
    <row r="66" spans="1:38" s="1568" customFormat="1" ht="11.45" customHeight="1">
      <c r="A66" s="917"/>
      <c r="B66" s="917"/>
      <c r="C66" s="917"/>
      <c r="D66" s="917"/>
      <c r="E66" s="917"/>
      <c r="F66" s="1563"/>
      <c r="G66" s="1563"/>
      <c r="H66" s="288"/>
      <c r="O66" s="1293"/>
      <c r="Q66" s="1293"/>
      <c r="R66" s="1563"/>
      <c r="S66" s="1563"/>
      <c r="T66" s="1293"/>
      <c r="U66" s="1293"/>
      <c r="V66" s="1293"/>
      <c r="W66" s="1293"/>
      <c r="X66" s="1563"/>
      <c r="Y66" s="1293"/>
      <c r="Z66" s="1293"/>
      <c r="AA66" s="481"/>
      <c r="AB66" s="1293"/>
      <c r="AC66" s="1293"/>
      <c r="AD66" s="1293"/>
      <c r="AE66" s="1293"/>
      <c r="AF66" s="1293"/>
      <c r="AG66" s="1559"/>
      <c r="AH66" s="559"/>
      <c r="AI66" s="559"/>
      <c r="AJ66" s="559"/>
      <c r="AK66" s="559"/>
      <c r="AL66" s="1568">
        <v>11</v>
      </c>
    </row>
    <row r="67" spans="1:38" s="1568" customFormat="1" ht="11.45" customHeight="1">
      <c r="A67" s="917"/>
      <c r="B67" s="917"/>
      <c r="C67" s="917"/>
      <c r="D67" s="917"/>
      <c r="E67" s="917"/>
      <c r="F67" s="1563"/>
      <c r="G67" s="1563"/>
      <c r="H67" s="288"/>
      <c r="O67" s="1293"/>
      <c r="Q67" s="1293"/>
      <c r="R67" s="1563"/>
      <c r="S67" s="1563"/>
      <c r="T67" s="1293"/>
      <c r="U67" s="1293"/>
      <c r="V67" s="1293"/>
      <c r="W67" s="1293"/>
      <c r="X67" s="1563"/>
      <c r="Y67" s="1293"/>
      <c r="Z67" s="1293"/>
      <c r="AA67" s="481"/>
      <c r="AB67" s="1293"/>
      <c r="AC67" s="1293"/>
      <c r="AD67" s="1293"/>
      <c r="AE67" s="1293"/>
      <c r="AF67" s="1293"/>
      <c r="AG67" s="1559"/>
      <c r="AH67" s="559"/>
      <c r="AI67" s="559"/>
      <c r="AJ67" s="559"/>
      <c r="AK67" s="559"/>
      <c r="AL67" s="1568">
        <v>11</v>
      </c>
    </row>
    <row r="68" spans="1:38" s="1568" customFormat="1" ht="11.45" customHeight="1">
      <c r="A68" s="917"/>
      <c r="B68" s="917"/>
      <c r="C68" s="917"/>
      <c r="D68" s="917"/>
      <c r="E68" s="917"/>
      <c r="F68" s="1563"/>
      <c r="G68" s="1563"/>
      <c r="H68" s="288"/>
      <c r="O68" s="1293"/>
      <c r="Q68" s="1293"/>
      <c r="R68" s="1563"/>
      <c r="S68" s="1563"/>
      <c r="T68" s="1293"/>
      <c r="U68" s="1293"/>
      <c r="V68" s="1293"/>
      <c r="W68" s="1293"/>
      <c r="X68" s="1563"/>
      <c r="Y68" s="1293"/>
      <c r="Z68" s="1293"/>
      <c r="AA68" s="481"/>
      <c r="AB68" s="1293"/>
      <c r="AC68" s="1293"/>
      <c r="AD68" s="1293"/>
      <c r="AE68" s="1293"/>
      <c r="AF68" s="1293"/>
      <c r="AG68" s="1559"/>
      <c r="AH68" s="559"/>
      <c r="AI68" s="559"/>
      <c r="AJ68" s="559"/>
      <c r="AK68" s="559"/>
      <c r="AL68" s="1568">
        <v>11</v>
      </c>
    </row>
    <row r="69" spans="1:38" s="1568" customFormat="1" ht="11.45" customHeight="1">
      <c r="A69" s="917"/>
      <c r="B69" s="917"/>
      <c r="C69" s="917"/>
      <c r="D69" s="917"/>
      <c r="E69" s="917"/>
      <c r="F69" s="1563"/>
      <c r="G69" s="1563"/>
      <c r="H69" s="288"/>
      <c r="O69" s="1293"/>
      <c r="Q69" s="1293"/>
      <c r="R69" s="1563"/>
      <c r="S69" s="1563"/>
      <c r="T69" s="1293"/>
      <c r="U69" s="1293"/>
      <c r="V69" s="1293"/>
      <c r="W69" s="1293"/>
      <c r="X69" s="1563"/>
      <c r="Y69" s="1293"/>
      <c r="Z69" s="1293"/>
      <c r="AA69" s="481"/>
      <c r="AB69" s="1293"/>
      <c r="AC69" s="1293"/>
      <c r="AD69" s="1293"/>
      <c r="AE69" s="1293"/>
      <c r="AF69" s="1293"/>
      <c r="AG69" s="1559"/>
      <c r="AH69" s="559"/>
      <c r="AI69" s="559"/>
      <c r="AJ69" s="559"/>
      <c r="AK69" s="559"/>
      <c r="AL69" s="1568">
        <v>11</v>
      </c>
    </row>
    <row r="70" spans="1:38" s="1568" customFormat="1" ht="11.45" customHeight="1">
      <c r="A70" s="917"/>
      <c r="B70" s="917"/>
      <c r="C70" s="917"/>
      <c r="D70" s="917"/>
      <c r="E70" s="917"/>
      <c r="F70" s="1563"/>
      <c r="G70" s="1563"/>
      <c r="H70" s="288"/>
      <c r="O70" s="1293"/>
      <c r="Q70" s="1293"/>
      <c r="R70" s="1563"/>
      <c r="S70" s="1563"/>
      <c r="T70" s="1293"/>
      <c r="U70" s="1293"/>
      <c r="V70" s="1293"/>
      <c r="W70" s="1293"/>
      <c r="X70" s="1563"/>
      <c r="Y70" s="1293"/>
      <c r="Z70" s="1293"/>
      <c r="AA70" s="481"/>
      <c r="AB70" s="1293"/>
      <c r="AC70" s="1293"/>
      <c r="AD70" s="1293"/>
      <c r="AE70" s="1293"/>
      <c r="AF70" s="1293"/>
      <c r="AG70" s="1559"/>
      <c r="AH70" s="559"/>
      <c r="AI70" s="559"/>
      <c r="AJ70" s="559"/>
      <c r="AK70" s="559"/>
      <c r="AL70" s="1568">
        <v>11</v>
      </c>
    </row>
    <row r="71" spans="1:38" s="1568" customFormat="1" ht="11.45" customHeight="1">
      <c r="A71" s="917"/>
      <c r="B71" s="917"/>
      <c r="C71" s="917"/>
      <c r="D71" s="917"/>
      <c r="E71" s="917"/>
      <c r="F71" s="1563"/>
      <c r="G71" s="1563"/>
      <c r="H71" s="288"/>
      <c r="O71" s="1293"/>
      <c r="Q71" s="1293"/>
      <c r="R71" s="1563"/>
      <c r="S71" s="1563"/>
      <c r="T71" s="1293"/>
      <c r="U71" s="1293"/>
      <c r="V71" s="1293"/>
      <c r="W71" s="1293"/>
      <c r="X71" s="1563"/>
      <c r="Y71" s="1293"/>
      <c r="Z71" s="1293"/>
      <c r="AA71" s="481"/>
      <c r="AB71" s="1293"/>
      <c r="AC71" s="1293"/>
      <c r="AD71" s="1293"/>
      <c r="AE71" s="1293"/>
      <c r="AF71" s="1293"/>
      <c r="AG71" s="1559"/>
      <c r="AH71" s="559"/>
      <c r="AI71" s="559"/>
      <c r="AJ71" s="559"/>
      <c r="AK71" s="559"/>
      <c r="AL71" s="1568">
        <v>11</v>
      </c>
    </row>
    <row r="72" spans="1:38" s="1568" customFormat="1" ht="11.45" customHeight="1">
      <c r="A72" s="917"/>
      <c r="B72" s="917"/>
      <c r="C72" s="917"/>
      <c r="D72" s="917"/>
      <c r="E72" s="917"/>
      <c r="F72" s="1563"/>
      <c r="G72" s="1563"/>
      <c r="H72" s="288"/>
      <c r="O72" s="1293"/>
      <c r="Q72" s="1293"/>
      <c r="R72" s="1563"/>
      <c r="S72" s="1563"/>
      <c r="T72" s="1293"/>
      <c r="U72" s="1293"/>
      <c r="V72" s="1293"/>
      <c r="W72" s="1293"/>
      <c r="X72" s="1563"/>
      <c r="Y72" s="1293"/>
      <c r="Z72" s="1293"/>
      <c r="AA72" s="481"/>
      <c r="AB72" s="1293"/>
      <c r="AC72" s="1293"/>
      <c r="AD72" s="1293"/>
      <c r="AE72" s="1293"/>
      <c r="AF72" s="1293"/>
      <c r="AG72" s="1559"/>
      <c r="AH72" s="559"/>
      <c r="AI72" s="559"/>
      <c r="AJ72" s="559"/>
      <c r="AK72" s="559"/>
      <c r="AL72" s="1568">
        <v>11</v>
      </c>
    </row>
    <row r="73" spans="1:38" s="1568" customFormat="1" ht="11.45" customHeight="1">
      <c r="A73" s="917"/>
      <c r="B73" s="917"/>
      <c r="C73" s="917"/>
      <c r="D73" s="917"/>
      <c r="E73" s="917"/>
      <c r="F73" s="1563"/>
      <c r="G73" s="1563"/>
      <c r="H73" s="288"/>
      <c r="O73" s="1293"/>
      <c r="Q73" s="1293"/>
      <c r="R73" s="1563"/>
      <c r="S73" s="1563"/>
      <c r="T73" s="1293"/>
      <c r="U73" s="1293"/>
      <c r="V73" s="1293"/>
      <c r="W73" s="1293"/>
      <c r="X73" s="1563"/>
      <c r="Y73" s="1293"/>
      <c r="Z73" s="1293"/>
      <c r="AA73" s="481"/>
      <c r="AB73" s="1293"/>
      <c r="AC73" s="1293"/>
      <c r="AD73" s="1293"/>
      <c r="AE73" s="1293"/>
      <c r="AF73" s="1293"/>
      <c r="AG73" s="1559"/>
      <c r="AH73" s="559"/>
      <c r="AI73" s="559"/>
      <c r="AJ73" s="559"/>
      <c r="AK73" s="559"/>
      <c r="AL73" s="1568">
        <v>11</v>
      </c>
    </row>
    <row r="74" spans="1:38" s="1568" customFormat="1" ht="11.45" customHeight="1">
      <c r="A74" s="917"/>
      <c r="B74" s="917"/>
      <c r="C74" s="917"/>
      <c r="D74" s="917"/>
      <c r="E74" s="917"/>
      <c r="F74" s="1563"/>
      <c r="G74" s="1563"/>
      <c r="H74" s="288"/>
      <c r="O74" s="1293"/>
      <c r="Q74" s="1293"/>
      <c r="R74" s="1563"/>
      <c r="S74" s="1563"/>
      <c r="T74" s="1293"/>
      <c r="U74" s="1293"/>
      <c r="V74" s="1293"/>
      <c r="W74" s="1293"/>
      <c r="X74" s="1563"/>
      <c r="Y74" s="1293"/>
      <c r="Z74" s="1293"/>
      <c r="AA74" s="481"/>
      <c r="AB74" s="1293"/>
      <c r="AC74" s="1293"/>
      <c r="AD74" s="1293"/>
      <c r="AE74" s="1293"/>
      <c r="AF74" s="1293"/>
      <c r="AG74" s="1559"/>
      <c r="AH74" s="559"/>
      <c r="AI74" s="559"/>
      <c r="AJ74" s="559"/>
      <c r="AK74" s="559"/>
      <c r="AL74" s="1568">
        <v>11</v>
      </c>
    </row>
    <row r="75" spans="1:38" s="1568" customFormat="1" ht="11.45" customHeight="1">
      <c r="A75" s="917"/>
      <c r="B75" s="917"/>
      <c r="C75" s="917"/>
      <c r="D75" s="917"/>
      <c r="E75" s="917"/>
      <c r="F75" s="1563"/>
      <c r="G75" s="1563"/>
      <c r="H75" s="288"/>
      <c r="O75" s="1293"/>
      <c r="Q75" s="1293"/>
      <c r="R75" s="1563"/>
      <c r="S75" s="1563"/>
      <c r="T75" s="1293"/>
      <c r="U75" s="1293"/>
      <c r="V75" s="1293"/>
      <c r="W75" s="1293"/>
      <c r="X75" s="1563"/>
      <c r="Y75" s="1293"/>
      <c r="Z75" s="1293"/>
      <c r="AA75" s="481"/>
      <c r="AB75" s="1293"/>
      <c r="AC75" s="1293"/>
      <c r="AD75" s="1293"/>
      <c r="AE75" s="1293"/>
      <c r="AF75" s="1293"/>
      <c r="AG75" s="1559"/>
      <c r="AH75" s="559"/>
      <c r="AI75" s="559"/>
      <c r="AJ75" s="559"/>
      <c r="AK75" s="559"/>
      <c r="AL75" s="1568">
        <v>11</v>
      </c>
    </row>
    <row r="76" spans="1:38" s="1568" customFormat="1" ht="11.45" customHeight="1">
      <c r="A76" s="917"/>
      <c r="B76" s="917"/>
      <c r="C76" s="917"/>
      <c r="D76" s="917"/>
      <c r="E76" s="917"/>
      <c r="F76" s="1563"/>
      <c r="G76" s="1563"/>
      <c r="H76" s="288"/>
      <c r="O76" s="1293"/>
      <c r="Q76" s="1293"/>
      <c r="R76" s="1563"/>
      <c r="S76" s="1563"/>
      <c r="T76" s="1293"/>
      <c r="U76" s="1293"/>
      <c r="V76" s="1293"/>
      <c r="W76" s="1293"/>
      <c r="X76" s="1563"/>
      <c r="Y76" s="1293"/>
      <c r="Z76" s="1293"/>
      <c r="AA76" s="481"/>
      <c r="AB76" s="1293"/>
      <c r="AC76" s="1293"/>
      <c r="AD76" s="1293"/>
      <c r="AE76" s="1293"/>
      <c r="AF76" s="1293"/>
      <c r="AG76" s="1559"/>
      <c r="AH76" s="559"/>
      <c r="AI76" s="559"/>
      <c r="AJ76" s="559"/>
      <c r="AK76" s="559"/>
      <c r="AL76" s="1568">
        <v>11</v>
      </c>
    </row>
    <row r="77" spans="1:38" s="1568" customFormat="1" ht="11.45" customHeight="1">
      <c r="A77" s="917"/>
      <c r="B77" s="917"/>
      <c r="C77" s="917"/>
      <c r="D77" s="917"/>
      <c r="E77" s="917"/>
      <c r="F77" s="1563"/>
      <c r="G77" s="1563"/>
      <c r="H77" s="288"/>
      <c r="O77" s="1293"/>
      <c r="Q77" s="1293"/>
      <c r="R77" s="1563"/>
      <c r="S77" s="1563"/>
      <c r="T77" s="1293"/>
      <c r="U77" s="1293"/>
      <c r="V77" s="1293"/>
      <c r="W77" s="1293"/>
      <c r="X77" s="1563"/>
      <c r="Y77" s="1293"/>
      <c r="Z77" s="1293"/>
      <c r="AA77" s="481"/>
      <c r="AB77" s="1293"/>
      <c r="AC77" s="1293"/>
      <c r="AD77" s="1293"/>
      <c r="AE77" s="1293"/>
      <c r="AF77" s="1293"/>
      <c r="AG77" s="1559"/>
      <c r="AH77" s="559"/>
      <c r="AI77" s="559"/>
      <c r="AJ77" s="559"/>
      <c r="AK77" s="559"/>
      <c r="AL77" s="1568">
        <v>11</v>
      </c>
    </row>
    <row r="78" spans="1:38" s="1568" customFormat="1" ht="11.45" customHeight="1">
      <c r="A78" s="917"/>
      <c r="B78" s="917"/>
      <c r="C78" s="917"/>
      <c r="D78" s="917"/>
      <c r="E78" s="917"/>
      <c r="F78" s="1563"/>
      <c r="G78" s="1563"/>
      <c r="H78" s="288"/>
      <c r="O78" s="1293"/>
      <c r="Q78" s="1293"/>
      <c r="R78" s="1563"/>
      <c r="S78" s="1563"/>
      <c r="T78" s="1293"/>
      <c r="U78" s="1293"/>
      <c r="V78" s="1293"/>
      <c r="W78" s="1293"/>
      <c r="X78" s="1563"/>
      <c r="Y78" s="1293"/>
      <c r="Z78" s="1293"/>
      <c r="AA78" s="481"/>
      <c r="AB78" s="1293"/>
      <c r="AC78" s="1293"/>
      <c r="AD78" s="1293"/>
      <c r="AE78" s="1293"/>
      <c r="AF78" s="1293"/>
      <c r="AG78" s="1559"/>
      <c r="AH78" s="559"/>
      <c r="AI78" s="559"/>
      <c r="AJ78" s="559"/>
      <c r="AK78" s="559"/>
      <c r="AL78" s="1568">
        <v>11</v>
      </c>
    </row>
    <row r="79" spans="1:38" s="1568" customFormat="1" ht="11.45" customHeight="1">
      <c r="A79" s="917"/>
      <c r="B79" s="917"/>
      <c r="C79" s="917"/>
      <c r="D79" s="917"/>
      <c r="E79" s="917"/>
      <c r="F79" s="1563"/>
      <c r="G79" s="1563"/>
      <c r="H79" s="288"/>
      <c r="O79" s="1293"/>
      <c r="Q79" s="1293"/>
      <c r="R79" s="1563"/>
      <c r="S79" s="1563"/>
      <c r="T79" s="1293"/>
      <c r="U79" s="1293"/>
      <c r="V79" s="1293"/>
      <c r="W79" s="1293"/>
      <c r="X79" s="1563"/>
      <c r="Y79" s="1293"/>
      <c r="Z79" s="1293"/>
      <c r="AA79" s="481"/>
      <c r="AB79" s="1293"/>
      <c r="AC79" s="1293"/>
      <c r="AD79" s="1293"/>
      <c r="AE79" s="1293"/>
      <c r="AF79" s="1293"/>
      <c r="AG79" s="1559"/>
      <c r="AH79" s="559"/>
      <c r="AI79" s="559"/>
      <c r="AJ79" s="559"/>
      <c r="AK79" s="559"/>
      <c r="AL79" s="1568">
        <v>11</v>
      </c>
    </row>
    <row r="80" spans="1:38" s="1568" customFormat="1" ht="11.45" customHeight="1">
      <c r="A80" s="917"/>
      <c r="B80" s="917"/>
      <c r="C80" s="917"/>
      <c r="D80" s="917"/>
      <c r="E80" s="917"/>
      <c r="F80" s="1563"/>
      <c r="G80" s="1563"/>
      <c r="H80" s="288"/>
      <c r="O80" s="1293"/>
      <c r="Q80" s="1293"/>
      <c r="R80" s="1563"/>
      <c r="S80" s="1563"/>
      <c r="T80" s="1293"/>
      <c r="U80" s="1293"/>
      <c r="V80" s="1293"/>
      <c r="W80" s="1293"/>
      <c r="X80" s="1563"/>
      <c r="Y80" s="1293"/>
      <c r="Z80" s="1293"/>
      <c r="AA80" s="481"/>
      <c r="AB80" s="1293"/>
      <c r="AC80" s="1293"/>
      <c r="AD80" s="1293"/>
      <c r="AE80" s="1293"/>
      <c r="AF80" s="1293"/>
      <c r="AG80" s="1559"/>
      <c r="AH80" s="559"/>
      <c r="AI80" s="559"/>
      <c r="AJ80" s="559"/>
      <c r="AK80" s="559"/>
      <c r="AL80" s="1568">
        <v>11</v>
      </c>
    </row>
    <row r="81" spans="1:38" s="1568" customFormat="1" ht="11.45" customHeight="1">
      <c r="A81" s="917"/>
      <c r="B81" s="917"/>
      <c r="C81" s="917"/>
      <c r="D81" s="917"/>
      <c r="E81" s="917"/>
      <c r="F81" s="1563"/>
      <c r="G81" s="1563"/>
      <c r="H81" s="288"/>
      <c r="O81" s="1293"/>
      <c r="Q81" s="1293"/>
      <c r="R81" s="1563"/>
      <c r="S81" s="1563"/>
      <c r="T81" s="1293"/>
      <c r="U81" s="1293"/>
      <c r="V81" s="1293"/>
      <c r="W81" s="1293"/>
      <c r="X81" s="1563"/>
      <c r="Y81" s="1293"/>
      <c r="Z81" s="1293"/>
      <c r="AA81" s="481"/>
      <c r="AB81" s="1293"/>
      <c r="AC81" s="1293"/>
      <c r="AD81" s="1293"/>
      <c r="AE81" s="1293"/>
      <c r="AF81" s="1293"/>
      <c r="AG81" s="1559"/>
      <c r="AH81" s="559"/>
      <c r="AI81" s="559"/>
      <c r="AJ81" s="559"/>
      <c r="AK81" s="559"/>
      <c r="AL81" s="1568">
        <v>11</v>
      </c>
    </row>
    <row r="82" spans="1:38" s="1568" customFormat="1" ht="11.45" customHeight="1">
      <c r="A82" s="917"/>
      <c r="B82" s="917"/>
      <c r="C82" s="917"/>
      <c r="D82" s="917"/>
      <c r="E82" s="917"/>
      <c r="F82" s="1563"/>
      <c r="G82" s="1563"/>
      <c r="H82" s="288"/>
      <c r="O82" s="1293"/>
      <c r="Q82" s="1293"/>
      <c r="R82" s="1563"/>
      <c r="S82" s="1563"/>
      <c r="T82" s="1293"/>
      <c r="U82" s="1293"/>
      <c r="V82" s="1293"/>
      <c r="W82" s="1293"/>
      <c r="X82" s="1563"/>
      <c r="Y82" s="1293"/>
      <c r="Z82" s="1293"/>
      <c r="AA82" s="481"/>
      <c r="AB82" s="1293"/>
      <c r="AC82" s="1293"/>
      <c r="AD82" s="1293"/>
      <c r="AE82" s="1293"/>
      <c r="AF82" s="1293"/>
      <c r="AG82" s="1559"/>
      <c r="AH82" s="559"/>
      <c r="AI82" s="559"/>
      <c r="AJ82" s="559"/>
      <c r="AK82" s="559"/>
      <c r="AL82" s="1568">
        <v>11</v>
      </c>
    </row>
    <row r="83" spans="1:38" s="1568" customFormat="1" ht="11.45" customHeight="1">
      <c r="A83" s="917"/>
      <c r="B83" s="917"/>
      <c r="C83" s="917"/>
      <c r="D83" s="917"/>
      <c r="E83" s="917"/>
      <c r="F83" s="1563"/>
      <c r="G83" s="1563"/>
      <c r="H83" s="288"/>
      <c r="O83" s="1293"/>
      <c r="Q83" s="1293"/>
      <c r="R83" s="1563"/>
      <c r="S83" s="1563"/>
      <c r="T83" s="1293"/>
      <c r="U83" s="1293"/>
      <c r="V83" s="1293"/>
      <c r="W83" s="1293"/>
      <c r="X83" s="1563"/>
      <c r="Y83" s="1293"/>
      <c r="Z83" s="1293"/>
      <c r="AA83" s="481"/>
      <c r="AB83" s="1293"/>
      <c r="AC83" s="1293"/>
      <c r="AD83" s="1293"/>
      <c r="AE83" s="1293"/>
      <c r="AF83" s="1293"/>
      <c r="AG83" s="1559"/>
      <c r="AH83" s="559"/>
      <c r="AI83" s="559"/>
      <c r="AJ83" s="559"/>
      <c r="AK83" s="559"/>
      <c r="AL83" s="1568">
        <v>11</v>
      </c>
    </row>
    <row r="84" spans="1:38" s="1568" customFormat="1" ht="11.45" customHeight="1">
      <c r="A84" s="917"/>
      <c r="B84" s="917"/>
      <c r="C84" s="917"/>
      <c r="D84" s="917"/>
      <c r="E84" s="917"/>
      <c r="F84" s="1563"/>
      <c r="G84" s="1563"/>
      <c r="H84" s="288"/>
      <c r="O84" s="1293"/>
      <c r="Q84" s="1293"/>
      <c r="R84" s="1563"/>
      <c r="S84" s="1563"/>
      <c r="T84" s="1293"/>
      <c r="U84" s="1293"/>
      <c r="V84" s="1293"/>
      <c r="W84" s="1293"/>
      <c r="X84" s="1563"/>
      <c r="Y84" s="1293"/>
      <c r="Z84" s="1293"/>
      <c r="AA84" s="481"/>
      <c r="AB84" s="1293"/>
      <c r="AC84" s="1293"/>
      <c r="AD84" s="1293"/>
      <c r="AE84" s="1293"/>
      <c r="AF84" s="1293"/>
      <c r="AG84" s="1559"/>
      <c r="AH84" s="559"/>
      <c r="AI84" s="559"/>
      <c r="AJ84" s="559"/>
      <c r="AK84" s="559"/>
      <c r="AL84" s="1568">
        <v>11</v>
      </c>
    </row>
    <row r="85" spans="1:38" s="1568" customFormat="1" ht="11.45" customHeight="1">
      <c r="A85" s="917"/>
      <c r="B85" s="917"/>
      <c r="C85" s="917"/>
      <c r="D85" s="917"/>
      <c r="E85" s="917"/>
      <c r="F85" s="1563"/>
      <c r="G85" s="1563"/>
      <c r="H85" s="288"/>
      <c r="O85" s="1293"/>
      <c r="Q85" s="1293"/>
      <c r="R85" s="1563"/>
      <c r="S85" s="1563"/>
      <c r="T85" s="1293"/>
      <c r="U85" s="1293"/>
      <c r="V85" s="1293"/>
      <c r="W85" s="1293"/>
      <c r="X85" s="1563"/>
      <c r="Y85" s="1293"/>
      <c r="Z85" s="1293"/>
      <c r="AA85" s="481"/>
      <c r="AB85" s="1293"/>
      <c r="AC85" s="1293"/>
      <c r="AD85" s="1293"/>
      <c r="AE85" s="1293"/>
      <c r="AF85" s="1293"/>
      <c r="AG85" s="1559"/>
      <c r="AH85" s="559"/>
      <c r="AI85" s="559"/>
      <c r="AJ85" s="559"/>
      <c r="AK85" s="559"/>
      <c r="AL85" s="1568">
        <v>11</v>
      </c>
    </row>
    <row r="86" spans="1:38" s="1568" customFormat="1" ht="11.45" customHeight="1">
      <c r="A86" s="917"/>
      <c r="B86" s="917"/>
      <c r="C86" s="917"/>
      <c r="D86" s="917"/>
      <c r="E86" s="917"/>
      <c r="F86" s="1563"/>
      <c r="G86" s="1563"/>
      <c r="H86" s="288"/>
      <c r="O86" s="1293"/>
      <c r="Q86" s="1293"/>
      <c r="R86" s="1563"/>
      <c r="S86" s="1563"/>
      <c r="T86" s="1293"/>
      <c r="U86" s="1293"/>
      <c r="V86" s="1293"/>
      <c r="W86" s="1293"/>
      <c r="X86" s="1563"/>
      <c r="Y86" s="1293"/>
      <c r="Z86" s="1293"/>
      <c r="AA86" s="481"/>
      <c r="AB86" s="1293"/>
      <c r="AC86" s="1293"/>
      <c r="AD86" s="1293"/>
      <c r="AE86" s="1293"/>
      <c r="AF86" s="1293"/>
      <c r="AG86" s="1559"/>
      <c r="AH86" s="559"/>
      <c r="AI86" s="559"/>
      <c r="AJ86" s="559"/>
      <c r="AK86" s="559"/>
      <c r="AL86" s="1568">
        <v>11</v>
      </c>
    </row>
    <row r="87" spans="1:38" s="1568" customFormat="1" ht="11.45" customHeight="1">
      <c r="A87" s="917"/>
      <c r="B87" s="917"/>
      <c r="C87" s="917"/>
      <c r="D87" s="917"/>
      <c r="E87" s="917"/>
      <c r="F87" s="1563"/>
      <c r="G87" s="1563"/>
      <c r="H87" s="288"/>
      <c r="O87" s="1293"/>
      <c r="Q87" s="1293"/>
      <c r="R87" s="1563"/>
      <c r="S87" s="1563"/>
      <c r="T87" s="1293"/>
      <c r="U87" s="1293"/>
      <c r="V87" s="1293"/>
      <c r="W87" s="1293"/>
      <c r="X87" s="1563"/>
      <c r="Y87" s="1293"/>
      <c r="Z87" s="1293"/>
      <c r="AA87" s="481"/>
      <c r="AB87" s="1293"/>
      <c r="AC87" s="1293"/>
      <c r="AD87" s="1293"/>
      <c r="AE87" s="1293"/>
      <c r="AF87" s="1293"/>
      <c r="AG87" s="1559"/>
      <c r="AH87" s="559"/>
      <c r="AI87" s="559"/>
      <c r="AJ87" s="559"/>
      <c r="AK87" s="559"/>
      <c r="AL87" s="1568">
        <v>11</v>
      </c>
    </row>
    <row r="88" spans="1:38" s="1568" customFormat="1" ht="11.45" customHeight="1">
      <c r="A88" s="917"/>
      <c r="B88" s="917"/>
      <c r="C88" s="917"/>
      <c r="D88" s="917"/>
      <c r="E88" s="917"/>
      <c r="F88" s="1563"/>
      <c r="G88" s="1563"/>
      <c r="H88" s="288"/>
      <c r="O88" s="1293"/>
      <c r="Q88" s="1293"/>
      <c r="R88" s="1563"/>
      <c r="S88" s="1563"/>
      <c r="T88" s="1293"/>
      <c r="U88" s="1293"/>
      <c r="V88" s="1293"/>
      <c r="W88" s="1293"/>
      <c r="X88" s="1563"/>
      <c r="Y88" s="1293"/>
      <c r="Z88" s="1293"/>
      <c r="AA88" s="481"/>
      <c r="AB88" s="1293"/>
      <c r="AC88" s="1293"/>
      <c r="AD88" s="1293"/>
      <c r="AE88" s="1293"/>
      <c r="AF88" s="1293"/>
      <c r="AG88" s="1559"/>
      <c r="AH88" s="559"/>
      <c r="AI88" s="559"/>
      <c r="AJ88" s="559"/>
      <c r="AK88" s="559"/>
      <c r="AL88" s="1568">
        <v>11</v>
      </c>
    </row>
    <row r="89" spans="1:38" s="1568" customFormat="1" ht="11.45" customHeight="1">
      <c r="A89" s="917"/>
      <c r="B89" s="917"/>
      <c r="C89" s="917"/>
      <c r="D89" s="917"/>
      <c r="E89" s="917"/>
      <c r="F89" s="1563"/>
      <c r="G89" s="1563"/>
      <c r="H89" s="288"/>
      <c r="O89" s="1293"/>
      <c r="Q89" s="1293"/>
      <c r="R89" s="1563"/>
      <c r="S89" s="1563"/>
      <c r="T89" s="1293"/>
      <c r="U89" s="1293"/>
      <c r="V89" s="1293"/>
      <c r="W89" s="1293"/>
      <c r="X89" s="1563"/>
      <c r="Y89" s="1293"/>
      <c r="Z89" s="1293"/>
      <c r="AA89" s="481"/>
      <c r="AB89" s="1293"/>
      <c r="AC89" s="1293"/>
      <c r="AD89" s="1293"/>
      <c r="AE89" s="1293"/>
      <c r="AF89" s="1293"/>
      <c r="AG89" s="1559"/>
      <c r="AH89" s="559"/>
      <c r="AI89" s="559"/>
      <c r="AJ89" s="559"/>
      <c r="AK89" s="559"/>
      <c r="AL89" s="1568">
        <v>11</v>
      </c>
    </row>
    <row r="90" spans="1:38" s="1568" customFormat="1" ht="11.45" customHeight="1">
      <c r="A90" s="917"/>
      <c r="B90" s="917"/>
      <c r="C90" s="917"/>
      <c r="D90" s="917"/>
      <c r="E90" s="917"/>
      <c r="F90" s="1563"/>
      <c r="G90" s="1563"/>
      <c r="H90" s="288"/>
      <c r="O90" s="1293"/>
      <c r="Q90" s="1293"/>
      <c r="R90" s="1563"/>
      <c r="S90" s="1563"/>
      <c r="T90" s="1293"/>
      <c r="U90" s="1293"/>
      <c r="V90" s="1293"/>
      <c r="W90" s="1293"/>
      <c r="X90" s="1563"/>
      <c r="Y90" s="1293"/>
      <c r="Z90" s="1293"/>
      <c r="AA90" s="481"/>
      <c r="AB90" s="1293"/>
      <c r="AC90" s="1293"/>
      <c r="AD90" s="1293"/>
      <c r="AE90" s="1293"/>
      <c r="AF90" s="1293"/>
      <c r="AG90" s="1559"/>
      <c r="AH90" s="559"/>
      <c r="AI90" s="559"/>
      <c r="AJ90" s="559"/>
      <c r="AK90" s="559"/>
      <c r="AL90" s="1568">
        <v>11</v>
      </c>
    </row>
    <row r="91" spans="1:38" s="1568" customFormat="1" ht="11.45" customHeight="1">
      <c r="A91" s="917"/>
      <c r="B91" s="917"/>
      <c r="C91" s="917"/>
      <c r="D91" s="917"/>
      <c r="E91" s="917"/>
      <c r="F91" s="1563"/>
      <c r="G91" s="1563"/>
      <c r="H91" s="288"/>
      <c r="O91" s="1293"/>
      <c r="Q91" s="1293"/>
      <c r="R91" s="1563"/>
      <c r="S91" s="1563"/>
      <c r="T91" s="1293"/>
      <c r="U91" s="1293"/>
      <c r="V91" s="1293"/>
      <c r="W91" s="1293"/>
      <c r="X91" s="1563"/>
      <c r="Y91" s="1293"/>
      <c r="Z91" s="1293"/>
      <c r="AA91" s="481"/>
      <c r="AB91" s="1293"/>
      <c r="AC91" s="1293"/>
      <c r="AD91" s="1293"/>
      <c r="AE91" s="1293"/>
      <c r="AF91" s="1293"/>
      <c r="AG91" s="1559"/>
      <c r="AH91" s="559"/>
      <c r="AI91" s="559"/>
      <c r="AJ91" s="559"/>
      <c r="AK91" s="559"/>
      <c r="AL91" s="1568">
        <v>11</v>
      </c>
    </row>
    <row r="92" spans="1:38" s="1568" customFormat="1" ht="11.45" customHeight="1">
      <c r="A92" s="917"/>
      <c r="B92" s="917"/>
      <c r="C92" s="917"/>
      <c r="D92" s="917"/>
      <c r="E92" s="917"/>
      <c r="F92" s="1563"/>
      <c r="G92" s="1563"/>
      <c r="H92" s="288"/>
      <c r="O92" s="1293"/>
      <c r="Q92" s="1293"/>
      <c r="R92" s="1563"/>
      <c r="S92" s="1563"/>
      <c r="T92" s="1293"/>
      <c r="U92" s="1293"/>
      <c r="V92" s="1293"/>
      <c r="W92" s="1293"/>
      <c r="X92" s="1563"/>
      <c r="Y92" s="1293"/>
      <c r="Z92" s="1293"/>
      <c r="AA92" s="481"/>
      <c r="AB92" s="1293"/>
      <c r="AC92" s="1293"/>
      <c r="AD92" s="1293"/>
      <c r="AE92" s="1293"/>
      <c r="AF92" s="1293"/>
      <c r="AG92" s="1559"/>
      <c r="AH92" s="559"/>
      <c r="AI92" s="559"/>
      <c r="AJ92" s="559"/>
      <c r="AK92" s="559"/>
      <c r="AL92" s="1568">
        <v>11</v>
      </c>
    </row>
    <row r="93" spans="1:38" s="1568" customFormat="1" ht="11.45" customHeight="1">
      <c r="A93" s="917"/>
      <c r="B93" s="917"/>
      <c r="C93" s="917"/>
      <c r="D93" s="917"/>
      <c r="E93" s="917"/>
      <c r="F93" s="1563"/>
      <c r="G93" s="1563"/>
      <c r="H93" s="288"/>
      <c r="O93" s="1293"/>
      <c r="Q93" s="1293"/>
      <c r="R93" s="1563"/>
      <c r="S93" s="1563"/>
      <c r="T93" s="1293"/>
      <c r="U93" s="1293"/>
      <c r="V93" s="1293"/>
      <c r="W93" s="1293"/>
      <c r="X93" s="1563"/>
      <c r="Y93" s="1293"/>
      <c r="Z93" s="1293"/>
      <c r="AA93" s="481"/>
      <c r="AB93" s="1293"/>
      <c r="AC93" s="1293"/>
      <c r="AD93" s="1293"/>
      <c r="AE93" s="1293"/>
      <c r="AF93" s="1293"/>
      <c r="AG93" s="1559"/>
      <c r="AH93" s="559"/>
      <c r="AI93" s="559"/>
      <c r="AJ93" s="559"/>
      <c r="AK93" s="559"/>
      <c r="AL93" s="1568">
        <v>11</v>
      </c>
    </row>
    <row r="94" spans="1:38" s="1568" customFormat="1" ht="11.45" customHeight="1">
      <c r="A94" s="917"/>
      <c r="B94" s="917"/>
      <c r="C94" s="917"/>
      <c r="D94" s="917"/>
      <c r="E94" s="917"/>
      <c r="F94" s="1563"/>
      <c r="G94" s="1563"/>
      <c r="H94" s="288"/>
      <c r="O94" s="1293"/>
      <c r="Q94" s="1293"/>
      <c r="R94" s="1563"/>
      <c r="S94" s="1563"/>
      <c r="T94" s="1293"/>
      <c r="U94" s="1293"/>
      <c r="V94" s="1293"/>
      <c r="W94" s="1293"/>
      <c r="X94" s="1563"/>
      <c r="Y94" s="1293"/>
      <c r="Z94" s="1293"/>
      <c r="AA94" s="481"/>
      <c r="AB94" s="1293"/>
      <c r="AC94" s="1293"/>
      <c r="AD94" s="1293"/>
      <c r="AE94" s="1293"/>
      <c r="AF94" s="1293"/>
      <c r="AG94" s="1559"/>
      <c r="AH94" s="559"/>
      <c r="AI94" s="559"/>
      <c r="AJ94" s="559"/>
      <c r="AK94" s="559"/>
      <c r="AL94" s="1568">
        <v>11</v>
      </c>
    </row>
    <row r="95" spans="1:38" s="1568" customFormat="1" ht="11.45" customHeight="1">
      <c r="A95" s="917"/>
      <c r="B95" s="917"/>
      <c r="C95" s="917"/>
      <c r="D95" s="917"/>
      <c r="E95" s="917"/>
      <c r="F95" s="1563"/>
      <c r="G95" s="1563"/>
      <c r="H95" s="288"/>
      <c r="O95" s="1293"/>
      <c r="Q95" s="1293"/>
      <c r="R95" s="1563"/>
      <c r="S95" s="1563"/>
      <c r="T95" s="1293"/>
      <c r="U95" s="1293"/>
      <c r="V95" s="1293"/>
      <c r="W95" s="1293"/>
      <c r="X95" s="1563"/>
      <c r="Y95" s="1293"/>
      <c r="Z95" s="1293"/>
      <c r="AA95" s="481"/>
      <c r="AB95" s="1293"/>
      <c r="AC95" s="1293"/>
      <c r="AD95" s="1293"/>
      <c r="AE95" s="1293"/>
      <c r="AF95" s="1293"/>
      <c r="AG95" s="1559"/>
      <c r="AH95" s="559"/>
      <c r="AI95" s="559"/>
      <c r="AJ95" s="559"/>
      <c r="AK95" s="559"/>
      <c r="AL95" s="1568">
        <v>11</v>
      </c>
    </row>
    <row r="96" spans="1:38" s="1568" customFormat="1" ht="11.45" customHeight="1">
      <c r="A96" s="917"/>
      <c r="B96" s="917"/>
      <c r="C96" s="917"/>
      <c r="D96" s="917"/>
      <c r="E96" s="917"/>
      <c r="F96" s="1563"/>
      <c r="G96" s="1563"/>
      <c r="H96" s="288"/>
      <c r="O96" s="1293"/>
      <c r="Q96" s="1293"/>
      <c r="R96" s="1563"/>
      <c r="S96" s="1563"/>
      <c r="T96" s="1293"/>
      <c r="U96" s="1293"/>
      <c r="V96" s="1293"/>
      <c r="W96" s="1293"/>
      <c r="X96" s="1563"/>
      <c r="Y96" s="1293"/>
      <c r="Z96" s="1293"/>
      <c r="AA96" s="481"/>
      <c r="AB96" s="1293"/>
      <c r="AC96" s="1293"/>
      <c r="AD96" s="1293"/>
      <c r="AE96" s="1293"/>
      <c r="AF96" s="1293"/>
      <c r="AG96" s="1559"/>
      <c r="AH96" s="559"/>
      <c r="AI96" s="559"/>
      <c r="AJ96" s="559"/>
      <c r="AK96" s="559"/>
      <c r="AL96" s="1568">
        <v>11</v>
      </c>
    </row>
    <row r="97" spans="1:38" s="1568" customFormat="1" ht="11.45" customHeight="1">
      <c r="A97" s="917"/>
      <c r="B97" s="917"/>
      <c r="C97" s="917"/>
      <c r="D97" s="917"/>
      <c r="E97" s="917"/>
      <c r="F97" s="1563"/>
      <c r="G97" s="1563"/>
      <c r="H97" s="288"/>
      <c r="O97" s="1293"/>
      <c r="Q97" s="1293"/>
      <c r="R97" s="1563"/>
      <c r="S97" s="1563"/>
      <c r="T97" s="1293"/>
      <c r="U97" s="1293"/>
      <c r="V97" s="1293"/>
      <c r="W97" s="1293"/>
      <c r="X97" s="1563"/>
      <c r="Y97" s="1293"/>
      <c r="Z97" s="1293"/>
      <c r="AA97" s="481"/>
      <c r="AB97" s="1293"/>
      <c r="AC97" s="1293"/>
      <c r="AD97" s="1293"/>
      <c r="AE97" s="1293"/>
      <c r="AF97" s="1293"/>
      <c r="AG97" s="1559"/>
      <c r="AH97" s="559"/>
      <c r="AI97" s="559"/>
      <c r="AJ97" s="559"/>
      <c r="AK97" s="559"/>
      <c r="AL97" s="1568">
        <v>11</v>
      </c>
    </row>
    <row r="98" spans="1:38" s="1568" customFormat="1" ht="11.45" customHeight="1">
      <c r="A98" s="917"/>
      <c r="B98" s="917"/>
      <c r="C98" s="917"/>
      <c r="D98" s="917"/>
      <c r="E98" s="917"/>
      <c r="F98" s="1563"/>
      <c r="G98" s="1563"/>
      <c r="H98" s="288"/>
      <c r="O98" s="1293"/>
      <c r="Q98" s="1293"/>
      <c r="R98" s="1563"/>
      <c r="S98" s="1563"/>
      <c r="T98" s="1293"/>
      <c r="U98" s="1293"/>
      <c r="V98" s="1293"/>
      <c r="W98" s="1293"/>
      <c r="X98" s="1563"/>
      <c r="Y98" s="1293"/>
      <c r="Z98" s="1293"/>
      <c r="AA98" s="481"/>
      <c r="AB98" s="1293"/>
      <c r="AC98" s="1293"/>
      <c r="AD98" s="1293"/>
      <c r="AE98" s="1293"/>
      <c r="AF98" s="1293"/>
      <c r="AG98" s="1559"/>
      <c r="AH98" s="559"/>
      <c r="AI98" s="559"/>
      <c r="AJ98" s="559"/>
      <c r="AK98" s="559"/>
      <c r="AL98" s="1568">
        <v>11</v>
      </c>
    </row>
    <row r="99" spans="1:38" s="1568" customFormat="1" ht="11.45" customHeight="1">
      <c r="A99" s="917"/>
      <c r="B99" s="917"/>
      <c r="C99" s="917"/>
      <c r="D99" s="917"/>
      <c r="E99" s="917"/>
      <c r="F99" s="1563"/>
      <c r="G99" s="1563"/>
      <c r="H99" s="288"/>
      <c r="O99" s="1293"/>
      <c r="Q99" s="1293"/>
      <c r="R99" s="1563"/>
      <c r="S99" s="1563"/>
      <c r="T99" s="1293"/>
      <c r="U99" s="1293"/>
      <c r="V99" s="1293"/>
      <c r="W99" s="1293"/>
      <c r="X99" s="1563"/>
      <c r="Y99" s="1293"/>
      <c r="Z99" s="1293"/>
      <c r="AA99" s="481"/>
      <c r="AB99" s="1293"/>
      <c r="AC99" s="1293"/>
      <c r="AD99" s="1293"/>
      <c r="AE99" s="1293"/>
      <c r="AF99" s="1293"/>
      <c r="AG99" s="1559"/>
      <c r="AH99" s="559"/>
      <c r="AI99" s="559"/>
      <c r="AJ99" s="559"/>
      <c r="AK99" s="559"/>
      <c r="AL99" s="1568">
        <v>11</v>
      </c>
    </row>
    <row r="100" spans="1:38" s="1568" customFormat="1" ht="11.45" customHeight="1">
      <c r="A100" s="917"/>
      <c r="B100" s="917"/>
      <c r="C100" s="917"/>
      <c r="D100" s="917"/>
      <c r="E100" s="917"/>
      <c r="F100" s="1563"/>
      <c r="G100" s="1563"/>
      <c r="H100" s="288"/>
      <c r="O100" s="1293"/>
      <c r="Q100" s="1293"/>
      <c r="R100" s="1563"/>
      <c r="S100" s="1563"/>
      <c r="T100" s="1293"/>
      <c r="U100" s="1293"/>
      <c r="V100" s="1293"/>
      <c r="W100" s="1293"/>
      <c r="X100" s="1563"/>
      <c r="Y100" s="1293"/>
      <c r="Z100" s="1293"/>
      <c r="AA100" s="481"/>
      <c r="AB100" s="1293"/>
      <c r="AC100" s="1293"/>
      <c r="AD100" s="1293"/>
      <c r="AE100" s="1293"/>
      <c r="AF100" s="1293"/>
      <c r="AG100" s="1559"/>
      <c r="AH100" s="559"/>
      <c r="AI100" s="559"/>
      <c r="AJ100" s="559"/>
      <c r="AK100" s="559"/>
      <c r="AL100" s="1568">
        <v>11</v>
      </c>
    </row>
    <row r="101" spans="1:38" s="1568" customFormat="1" ht="11.45" customHeight="1">
      <c r="A101" s="917"/>
      <c r="B101" s="917"/>
      <c r="C101" s="917"/>
      <c r="D101" s="917"/>
      <c r="E101" s="917"/>
      <c r="F101" s="1563"/>
      <c r="G101" s="1563"/>
      <c r="H101" s="288"/>
      <c r="O101" s="1293"/>
      <c r="Q101" s="1293"/>
      <c r="R101" s="1563"/>
      <c r="S101" s="1563"/>
      <c r="T101" s="1293"/>
      <c r="U101" s="1293"/>
      <c r="V101" s="1293"/>
      <c r="W101" s="1293"/>
      <c r="X101" s="1563"/>
      <c r="Y101" s="1293"/>
      <c r="Z101" s="1293"/>
      <c r="AA101" s="481"/>
      <c r="AB101" s="1293"/>
      <c r="AC101" s="1293"/>
      <c r="AD101" s="1293"/>
      <c r="AE101" s="1293"/>
      <c r="AF101" s="1293"/>
      <c r="AG101" s="1559"/>
      <c r="AH101" s="559"/>
      <c r="AI101" s="559"/>
      <c r="AJ101" s="559"/>
      <c r="AK101" s="559"/>
      <c r="AL101" s="1568">
        <v>11</v>
      </c>
    </row>
    <row r="102" spans="1:38" s="1568" customFormat="1" ht="11.45" customHeight="1">
      <c r="A102" s="917"/>
      <c r="B102" s="917"/>
      <c r="C102" s="917"/>
      <c r="D102" s="917"/>
      <c r="E102" s="917"/>
      <c r="F102" s="1563"/>
      <c r="G102" s="1563"/>
      <c r="H102" s="288"/>
      <c r="O102" s="1293"/>
      <c r="Q102" s="1293"/>
      <c r="R102" s="1563"/>
      <c r="S102" s="1563"/>
      <c r="T102" s="1293"/>
      <c r="U102" s="1293"/>
      <c r="V102" s="1293"/>
      <c r="W102" s="1293"/>
      <c r="X102" s="1563"/>
      <c r="Y102" s="1293"/>
      <c r="Z102" s="1293"/>
      <c r="AA102" s="481"/>
      <c r="AB102" s="1293"/>
      <c r="AC102" s="1293"/>
      <c r="AD102" s="1293"/>
      <c r="AE102" s="1293"/>
      <c r="AF102" s="1293"/>
      <c r="AG102" s="1559"/>
      <c r="AH102" s="559"/>
      <c r="AI102" s="559"/>
      <c r="AJ102" s="559"/>
      <c r="AK102" s="559"/>
      <c r="AL102" s="1568">
        <v>11</v>
      </c>
    </row>
    <row r="103" spans="1:38" s="1568" customFormat="1" ht="11.45" customHeight="1">
      <c r="A103" s="917"/>
      <c r="B103" s="917"/>
      <c r="C103" s="917"/>
      <c r="D103" s="917"/>
      <c r="E103" s="917"/>
      <c r="F103" s="1563"/>
      <c r="G103" s="1563"/>
      <c r="H103" s="288"/>
      <c r="O103" s="1293"/>
      <c r="Q103" s="1293"/>
      <c r="R103" s="1563"/>
      <c r="S103" s="1563"/>
      <c r="T103" s="1293"/>
      <c r="U103" s="1293"/>
      <c r="V103" s="1293"/>
      <c r="W103" s="1293"/>
      <c r="X103" s="1563"/>
      <c r="Y103" s="1293"/>
      <c r="Z103" s="1293"/>
      <c r="AA103" s="481"/>
      <c r="AB103" s="1293"/>
      <c r="AC103" s="1293"/>
      <c r="AD103" s="1293"/>
      <c r="AE103" s="1293"/>
      <c r="AF103" s="1293"/>
      <c r="AG103" s="1559"/>
      <c r="AH103" s="559"/>
      <c r="AI103" s="559"/>
      <c r="AJ103" s="559"/>
      <c r="AK103" s="559"/>
      <c r="AL103" s="1568">
        <v>11</v>
      </c>
    </row>
    <row r="104" spans="1:38" s="1568" customFormat="1" ht="11.45" customHeight="1">
      <c r="A104" s="917"/>
      <c r="B104" s="917"/>
      <c r="C104" s="917"/>
      <c r="D104" s="917"/>
      <c r="E104" s="917"/>
      <c r="F104" s="1563"/>
      <c r="G104" s="1563"/>
      <c r="H104" s="288"/>
      <c r="O104" s="1293"/>
      <c r="Q104" s="1293"/>
      <c r="R104" s="1563"/>
      <c r="S104" s="1563"/>
      <c r="T104" s="1293"/>
      <c r="U104" s="1293"/>
      <c r="V104" s="1293"/>
      <c r="W104" s="1293"/>
      <c r="X104" s="1563"/>
      <c r="Y104" s="1293"/>
      <c r="Z104" s="1293"/>
      <c r="AA104" s="481"/>
      <c r="AB104" s="1293"/>
      <c r="AC104" s="1293"/>
      <c r="AD104" s="1293"/>
      <c r="AE104" s="1293"/>
      <c r="AF104" s="1293"/>
      <c r="AG104" s="1559"/>
      <c r="AH104" s="559"/>
      <c r="AI104" s="559"/>
      <c r="AJ104" s="559"/>
      <c r="AK104" s="559"/>
      <c r="AL104" s="1568">
        <v>11</v>
      </c>
    </row>
    <row r="105" spans="1:38" s="1568" customFormat="1" ht="11.45" customHeight="1">
      <c r="A105" s="917"/>
      <c r="B105" s="917"/>
      <c r="C105" s="917"/>
      <c r="D105" s="917"/>
      <c r="E105" s="917"/>
      <c r="F105" s="1563"/>
      <c r="G105" s="1563"/>
      <c r="H105" s="288"/>
      <c r="O105" s="1293"/>
      <c r="Q105" s="1293"/>
      <c r="R105" s="1563"/>
      <c r="S105" s="1563"/>
      <c r="T105" s="1293"/>
      <c r="U105" s="1293"/>
      <c r="V105" s="1293"/>
      <c r="W105" s="1293"/>
      <c r="X105" s="1563"/>
      <c r="Y105" s="1293"/>
      <c r="Z105" s="1293"/>
      <c r="AA105" s="481"/>
      <c r="AB105" s="1293"/>
      <c r="AC105" s="1293"/>
      <c r="AD105" s="1293"/>
      <c r="AE105" s="1293"/>
      <c r="AF105" s="1293"/>
      <c r="AG105" s="1559"/>
      <c r="AH105" s="559"/>
      <c r="AI105" s="559"/>
      <c r="AJ105" s="559"/>
      <c r="AK105" s="559"/>
      <c r="AL105" s="1568">
        <v>11</v>
      </c>
    </row>
    <row r="106" spans="1:38" s="1568" customFormat="1" ht="11.45" customHeight="1">
      <c r="A106" s="917"/>
      <c r="B106" s="917"/>
      <c r="C106" s="917"/>
      <c r="D106" s="917"/>
      <c r="E106" s="917"/>
      <c r="F106" s="1563"/>
      <c r="G106" s="1563"/>
      <c r="H106" s="288"/>
      <c r="O106" s="1293"/>
      <c r="Q106" s="1293"/>
      <c r="R106" s="1563"/>
      <c r="S106" s="1563"/>
      <c r="T106" s="1293"/>
      <c r="U106" s="1293"/>
      <c r="V106" s="1293"/>
      <c r="W106" s="1293"/>
      <c r="X106" s="1563"/>
      <c r="Y106" s="1293"/>
      <c r="Z106" s="1293"/>
      <c r="AA106" s="481"/>
      <c r="AB106" s="1293"/>
      <c r="AC106" s="1293"/>
      <c r="AD106" s="1293"/>
      <c r="AE106" s="1293"/>
      <c r="AF106" s="1293"/>
      <c r="AG106" s="1559"/>
      <c r="AH106" s="559"/>
      <c r="AI106" s="559"/>
      <c r="AJ106" s="559"/>
      <c r="AK106" s="559"/>
      <c r="AL106" s="1568">
        <v>11</v>
      </c>
    </row>
    <row r="107" spans="1:38" s="1568" customFormat="1" ht="11.45" customHeight="1">
      <c r="A107" s="917"/>
      <c r="B107" s="917"/>
      <c r="C107" s="917"/>
      <c r="D107" s="917"/>
      <c r="E107" s="917"/>
      <c r="F107" s="1563"/>
      <c r="G107" s="1563"/>
      <c r="H107" s="288"/>
      <c r="O107" s="1293"/>
      <c r="Q107" s="1293"/>
      <c r="R107" s="1563"/>
      <c r="S107" s="1563"/>
      <c r="T107" s="1293"/>
      <c r="U107" s="1293"/>
      <c r="V107" s="1293"/>
      <c r="W107" s="1293"/>
      <c r="X107" s="1563"/>
      <c r="Y107" s="1293"/>
      <c r="Z107" s="1293"/>
      <c r="AA107" s="481"/>
      <c r="AB107" s="1293"/>
      <c r="AC107" s="1293"/>
      <c r="AD107" s="1293"/>
      <c r="AE107" s="1293"/>
      <c r="AF107" s="1293"/>
      <c r="AG107" s="1559"/>
      <c r="AH107" s="559"/>
      <c r="AI107" s="559"/>
      <c r="AJ107" s="559"/>
      <c r="AK107" s="559"/>
      <c r="AL107" s="1568">
        <v>11</v>
      </c>
    </row>
    <row r="108" spans="1:38" s="1568" customFormat="1" ht="11.45" customHeight="1">
      <c r="A108" s="917"/>
      <c r="B108" s="917"/>
      <c r="C108" s="917"/>
      <c r="D108" s="917"/>
      <c r="E108" s="917"/>
      <c r="F108" s="1563"/>
      <c r="G108" s="1563"/>
      <c r="H108" s="288"/>
      <c r="O108" s="1293"/>
      <c r="Q108" s="1293"/>
      <c r="R108" s="1563"/>
      <c r="S108" s="1563"/>
      <c r="T108" s="1293"/>
      <c r="U108" s="1293"/>
      <c r="V108" s="1293"/>
      <c r="W108" s="1293"/>
      <c r="X108" s="1563"/>
      <c r="Y108" s="1293"/>
      <c r="Z108" s="1293"/>
      <c r="AA108" s="481"/>
      <c r="AB108" s="1293"/>
      <c r="AC108" s="1293"/>
      <c r="AD108" s="1293"/>
      <c r="AE108" s="1293"/>
      <c r="AF108" s="1293"/>
      <c r="AG108" s="1559"/>
      <c r="AH108" s="559"/>
      <c r="AI108" s="559"/>
      <c r="AJ108" s="559"/>
      <c r="AK108" s="559"/>
      <c r="AL108" s="1568">
        <v>11</v>
      </c>
    </row>
    <row r="109" spans="1:38" s="1568" customFormat="1" ht="11.45" customHeight="1">
      <c r="A109" s="917"/>
      <c r="B109" s="917"/>
      <c r="C109" s="917"/>
      <c r="D109" s="917"/>
      <c r="E109" s="917"/>
      <c r="F109" s="1563"/>
      <c r="G109" s="1563"/>
      <c r="H109" s="288"/>
      <c r="O109" s="1293"/>
      <c r="Q109" s="1293"/>
      <c r="R109" s="1563"/>
      <c r="S109" s="1563"/>
      <c r="T109" s="1293"/>
      <c r="U109" s="1293"/>
      <c r="V109" s="1293"/>
      <c r="W109" s="1293"/>
      <c r="X109" s="1563"/>
      <c r="Y109" s="1293"/>
      <c r="Z109" s="1293"/>
      <c r="AA109" s="481"/>
      <c r="AB109" s="1293"/>
      <c r="AC109" s="1293"/>
      <c r="AD109" s="1293"/>
      <c r="AE109" s="1293"/>
      <c r="AF109" s="1293"/>
      <c r="AG109" s="1559"/>
      <c r="AH109" s="559"/>
      <c r="AI109" s="559"/>
      <c r="AJ109" s="559"/>
      <c r="AK109" s="559"/>
      <c r="AL109" s="1568">
        <v>11</v>
      </c>
    </row>
    <row r="110" spans="1:38" s="1568" customFormat="1" ht="11.45" customHeight="1">
      <c r="A110" s="917"/>
      <c r="B110" s="917"/>
      <c r="C110" s="917"/>
      <c r="D110" s="917"/>
      <c r="E110" s="917"/>
      <c r="F110" s="1563"/>
      <c r="G110" s="1563"/>
      <c r="H110" s="288"/>
      <c r="O110" s="1293"/>
      <c r="Q110" s="1293"/>
      <c r="R110" s="1563"/>
      <c r="S110" s="1563"/>
      <c r="T110" s="1293"/>
      <c r="U110" s="1293"/>
      <c r="V110" s="1293"/>
      <c r="W110" s="1293"/>
      <c r="X110" s="1563"/>
      <c r="Y110" s="1293"/>
      <c r="Z110" s="1293"/>
      <c r="AA110" s="481"/>
      <c r="AB110" s="1293"/>
      <c r="AC110" s="1293"/>
      <c r="AD110" s="1293"/>
      <c r="AE110" s="1293"/>
      <c r="AF110" s="1293"/>
      <c r="AG110" s="1559"/>
      <c r="AH110" s="559"/>
      <c r="AI110" s="559"/>
      <c r="AJ110" s="559"/>
      <c r="AK110" s="559"/>
      <c r="AL110" s="1568">
        <v>11</v>
      </c>
    </row>
    <row r="111" spans="1:38" s="1568" customFormat="1" ht="11.45" customHeight="1">
      <c r="A111" s="917"/>
      <c r="B111" s="917"/>
      <c r="C111" s="917"/>
      <c r="D111" s="917"/>
      <c r="E111" s="917"/>
      <c r="F111" s="1563"/>
      <c r="G111" s="1563"/>
      <c r="H111" s="288"/>
      <c r="O111" s="1293"/>
      <c r="Q111" s="1293"/>
      <c r="R111" s="1563"/>
      <c r="S111" s="1563"/>
      <c r="T111" s="1293"/>
      <c r="U111" s="1293"/>
      <c r="V111" s="1293"/>
      <c r="W111" s="1293"/>
      <c r="X111" s="1563"/>
      <c r="Y111" s="1293"/>
      <c r="Z111" s="1293"/>
      <c r="AA111" s="481"/>
      <c r="AB111" s="1293"/>
      <c r="AC111" s="1293"/>
      <c r="AD111" s="1293"/>
      <c r="AE111" s="1293"/>
      <c r="AF111" s="1293"/>
      <c r="AG111" s="1559"/>
      <c r="AH111" s="559"/>
      <c r="AI111" s="559"/>
      <c r="AJ111" s="559"/>
      <c r="AK111" s="559"/>
      <c r="AL111" s="1568">
        <v>11</v>
      </c>
    </row>
    <row r="112" spans="1:38" s="1568" customFormat="1" ht="11.45" customHeight="1">
      <c r="A112" s="917"/>
      <c r="B112" s="917"/>
      <c r="C112" s="917"/>
      <c r="D112" s="917"/>
      <c r="E112" s="917"/>
      <c r="F112" s="1563"/>
      <c r="G112" s="1563"/>
      <c r="H112" s="288"/>
      <c r="O112" s="1293"/>
      <c r="Q112" s="1293"/>
      <c r="R112" s="1563"/>
      <c r="S112" s="1563"/>
      <c r="T112" s="1293"/>
      <c r="U112" s="1293"/>
      <c r="V112" s="1293"/>
      <c r="W112" s="1293"/>
      <c r="X112" s="1563"/>
      <c r="Y112" s="1293"/>
      <c r="Z112" s="1293"/>
      <c r="AA112" s="481"/>
      <c r="AB112" s="1293"/>
      <c r="AC112" s="1293"/>
      <c r="AD112" s="1293"/>
      <c r="AE112" s="1293"/>
      <c r="AF112" s="1293"/>
      <c r="AG112" s="1559"/>
      <c r="AH112" s="559"/>
      <c r="AI112" s="559"/>
      <c r="AJ112" s="559"/>
      <c r="AK112" s="559"/>
      <c r="AL112" s="1568">
        <v>11</v>
      </c>
    </row>
    <row r="113" spans="1:38" s="1568" customFormat="1" ht="11.45" customHeight="1">
      <c r="A113" s="917"/>
      <c r="B113" s="917"/>
      <c r="C113" s="917"/>
      <c r="D113" s="917"/>
      <c r="E113" s="917"/>
      <c r="F113" s="1563"/>
      <c r="G113" s="1563"/>
      <c r="H113" s="288"/>
      <c r="O113" s="1293"/>
      <c r="Q113" s="1293"/>
      <c r="R113" s="1563"/>
      <c r="S113" s="1563"/>
      <c r="T113" s="1293"/>
      <c r="U113" s="1293"/>
      <c r="V113" s="1293"/>
      <c r="W113" s="1293"/>
      <c r="X113" s="1563"/>
      <c r="Y113" s="1293"/>
      <c r="Z113" s="1293"/>
      <c r="AA113" s="481"/>
      <c r="AB113" s="1293"/>
      <c r="AC113" s="1293"/>
      <c r="AD113" s="1293"/>
      <c r="AE113" s="1293"/>
      <c r="AF113" s="1293"/>
      <c r="AG113" s="1559"/>
      <c r="AH113" s="559"/>
      <c r="AI113" s="559"/>
      <c r="AJ113" s="559"/>
      <c r="AK113" s="559"/>
      <c r="AL113" s="1568">
        <v>11</v>
      </c>
    </row>
    <row r="114" spans="1:38" s="1568" customFormat="1" ht="11.45" customHeight="1">
      <c r="A114" s="917"/>
      <c r="B114" s="917"/>
      <c r="C114" s="917"/>
      <c r="D114" s="917"/>
      <c r="E114" s="917"/>
      <c r="F114" s="1563"/>
      <c r="G114" s="1563"/>
      <c r="H114" s="288"/>
      <c r="O114" s="1293"/>
      <c r="Q114" s="1293"/>
      <c r="R114" s="1563"/>
      <c r="S114" s="1563"/>
      <c r="T114" s="1293"/>
      <c r="U114" s="1293"/>
      <c r="V114" s="1293"/>
      <c r="W114" s="1293"/>
      <c r="X114" s="1563"/>
      <c r="Y114" s="1293"/>
      <c r="Z114" s="1293"/>
      <c r="AA114" s="481"/>
      <c r="AB114" s="1293"/>
      <c r="AC114" s="1293"/>
      <c r="AD114" s="1293"/>
      <c r="AE114" s="1293"/>
      <c r="AF114" s="1293"/>
      <c r="AG114" s="1559"/>
      <c r="AH114" s="559"/>
      <c r="AI114" s="559"/>
      <c r="AJ114" s="559"/>
      <c r="AK114" s="559"/>
      <c r="AL114" s="1568">
        <v>11</v>
      </c>
    </row>
    <row r="115" spans="1:38" s="1568" customFormat="1" ht="11.45" customHeight="1">
      <c r="A115" s="917"/>
      <c r="B115" s="917"/>
      <c r="C115" s="917"/>
      <c r="D115" s="917"/>
      <c r="E115" s="917"/>
      <c r="F115" s="1563"/>
      <c r="G115" s="1563"/>
      <c r="H115" s="288"/>
      <c r="O115" s="1293"/>
      <c r="Q115" s="1293"/>
      <c r="R115" s="1563"/>
      <c r="S115" s="1563"/>
      <c r="T115" s="1293"/>
      <c r="U115" s="1293"/>
      <c r="V115" s="1293"/>
      <c r="W115" s="1293"/>
      <c r="X115" s="1563"/>
      <c r="Y115" s="1293"/>
      <c r="Z115" s="1293"/>
      <c r="AA115" s="481"/>
      <c r="AB115" s="1293"/>
      <c r="AC115" s="1293"/>
      <c r="AD115" s="1293"/>
      <c r="AE115" s="1293"/>
      <c r="AF115" s="1293"/>
      <c r="AG115" s="1559"/>
      <c r="AH115" s="559"/>
      <c r="AI115" s="559"/>
      <c r="AJ115" s="559"/>
      <c r="AK115" s="559"/>
      <c r="AL115" s="1568">
        <v>11</v>
      </c>
    </row>
    <row r="116" spans="1:38" s="1568" customFormat="1" ht="11.45" customHeight="1">
      <c r="A116" s="917"/>
      <c r="B116" s="917"/>
      <c r="C116" s="917"/>
      <c r="D116" s="917"/>
      <c r="E116" s="917"/>
      <c r="F116" s="1563"/>
      <c r="G116" s="1563"/>
      <c r="H116" s="288"/>
      <c r="O116" s="1293"/>
      <c r="Q116" s="1293"/>
      <c r="R116" s="1563"/>
      <c r="S116" s="1563"/>
      <c r="T116" s="1293"/>
      <c r="U116" s="1293"/>
      <c r="V116" s="1293"/>
      <c r="W116" s="1293"/>
      <c r="X116" s="1563"/>
      <c r="Y116" s="1293"/>
      <c r="Z116" s="1293"/>
      <c r="AA116" s="481"/>
      <c r="AB116" s="1293"/>
      <c r="AC116" s="1293"/>
      <c r="AD116" s="1293"/>
      <c r="AE116" s="1293"/>
      <c r="AF116" s="1293"/>
      <c r="AG116" s="1559"/>
      <c r="AH116" s="559"/>
      <c r="AI116" s="559"/>
      <c r="AJ116" s="559"/>
      <c r="AK116" s="559"/>
      <c r="AL116" s="1568">
        <v>11</v>
      </c>
    </row>
    <row r="117" spans="1:38" s="1568" customFormat="1" ht="11.45" customHeight="1">
      <c r="A117" s="917"/>
      <c r="B117" s="917"/>
      <c r="C117" s="917"/>
      <c r="D117" s="917"/>
      <c r="E117" s="917"/>
      <c r="F117" s="1563"/>
      <c r="G117" s="1563"/>
      <c r="H117" s="288"/>
      <c r="O117" s="1293"/>
      <c r="Q117" s="1293"/>
      <c r="R117" s="1563"/>
      <c r="S117" s="1563"/>
      <c r="T117" s="1293"/>
      <c r="U117" s="1293"/>
      <c r="V117" s="1293"/>
      <c r="W117" s="1293"/>
      <c r="X117" s="1563"/>
      <c r="Y117" s="1293"/>
      <c r="Z117" s="1293"/>
      <c r="AA117" s="481"/>
      <c r="AB117" s="1293"/>
      <c r="AC117" s="1293"/>
      <c r="AD117" s="1293"/>
      <c r="AE117" s="1293"/>
      <c r="AF117" s="1293"/>
      <c r="AG117" s="1559"/>
      <c r="AH117" s="559"/>
      <c r="AI117" s="559"/>
      <c r="AJ117" s="559"/>
      <c r="AK117" s="559"/>
      <c r="AL117" s="1568">
        <v>11</v>
      </c>
    </row>
    <row r="118" spans="1:38" s="1568" customFormat="1" ht="11.45" customHeight="1">
      <c r="A118" s="917"/>
      <c r="B118" s="917"/>
      <c r="C118" s="917"/>
      <c r="D118" s="917"/>
      <c r="E118" s="917"/>
      <c r="F118" s="1563"/>
      <c r="G118" s="1563"/>
      <c r="H118" s="288"/>
      <c r="O118" s="1293"/>
      <c r="Q118" s="1293"/>
      <c r="R118" s="1563"/>
      <c r="S118" s="1563"/>
      <c r="T118" s="1293"/>
      <c r="U118" s="1293"/>
      <c r="V118" s="1293"/>
      <c r="W118" s="1293"/>
      <c r="X118" s="1563"/>
      <c r="Y118" s="1293"/>
      <c r="Z118" s="1293"/>
      <c r="AA118" s="481"/>
      <c r="AB118" s="1293"/>
      <c r="AC118" s="1293"/>
      <c r="AD118" s="1293"/>
      <c r="AE118" s="1293"/>
      <c r="AF118" s="1293"/>
      <c r="AG118" s="1559"/>
      <c r="AH118" s="559"/>
      <c r="AI118" s="559"/>
      <c r="AJ118" s="559"/>
      <c r="AK118" s="559"/>
      <c r="AL118" s="1568">
        <v>11</v>
      </c>
    </row>
    <row r="119" spans="1:38" s="1568" customFormat="1" ht="11.45" customHeight="1">
      <c r="A119" s="917"/>
      <c r="B119" s="917"/>
      <c r="C119" s="917"/>
      <c r="D119" s="917"/>
      <c r="E119" s="917"/>
      <c r="F119" s="1563"/>
      <c r="G119" s="1563"/>
      <c r="H119" s="288"/>
      <c r="O119" s="1293"/>
      <c r="Q119" s="1293"/>
      <c r="R119" s="1563"/>
      <c r="S119" s="1563"/>
      <c r="T119" s="1293"/>
      <c r="U119" s="1293"/>
      <c r="V119" s="1293"/>
      <c r="W119" s="1293"/>
      <c r="X119" s="1563"/>
      <c r="Y119" s="1293"/>
      <c r="Z119" s="1293"/>
      <c r="AA119" s="481"/>
      <c r="AB119" s="1293"/>
      <c r="AC119" s="1293"/>
      <c r="AD119" s="1293"/>
      <c r="AE119" s="1293"/>
      <c r="AF119" s="1293"/>
      <c r="AG119" s="1559"/>
      <c r="AH119" s="559"/>
      <c r="AI119" s="559"/>
      <c r="AJ119" s="559"/>
      <c r="AK119" s="559"/>
      <c r="AL119" s="1568">
        <v>11</v>
      </c>
    </row>
    <row r="120" spans="1:38" s="1568" customFormat="1" ht="11.45" customHeight="1">
      <c r="A120" s="917"/>
      <c r="B120" s="917"/>
      <c r="C120" s="917"/>
      <c r="D120" s="917"/>
      <c r="E120" s="917"/>
      <c r="F120" s="1563"/>
      <c r="G120" s="1563"/>
      <c r="H120" s="288"/>
      <c r="O120" s="1293"/>
      <c r="Q120" s="1293"/>
      <c r="R120" s="1563"/>
      <c r="S120" s="1563"/>
      <c r="T120" s="1293"/>
      <c r="U120" s="1293"/>
      <c r="V120" s="1293"/>
      <c r="W120" s="1293"/>
      <c r="X120" s="1563"/>
      <c r="Y120" s="1293"/>
      <c r="Z120" s="1293"/>
      <c r="AA120" s="481"/>
      <c r="AB120" s="1293"/>
      <c r="AC120" s="1293"/>
      <c r="AD120" s="1293"/>
      <c r="AE120" s="1293"/>
      <c r="AF120" s="1293"/>
      <c r="AG120" s="1559"/>
      <c r="AH120" s="559"/>
      <c r="AI120" s="559"/>
      <c r="AJ120" s="559"/>
      <c r="AK120" s="559"/>
      <c r="AL120" s="1568">
        <v>11</v>
      </c>
    </row>
    <row r="121" spans="1:38" s="1568" customFormat="1" ht="11.45" customHeight="1">
      <c r="A121" s="917"/>
      <c r="B121" s="917"/>
      <c r="C121" s="917"/>
      <c r="D121" s="917"/>
      <c r="E121" s="917"/>
      <c r="F121" s="1563"/>
      <c r="G121" s="1563"/>
      <c r="H121" s="288"/>
      <c r="O121" s="1293"/>
      <c r="Q121" s="1293"/>
      <c r="R121" s="1563"/>
      <c r="S121" s="1563"/>
      <c r="T121" s="1293"/>
      <c r="U121" s="1293"/>
      <c r="V121" s="1293"/>
      <c r="W121" s="1293"/>
      <c r="X121" s="1563"/>
      <c r="Y121" s="1293"/>
      <c r="Z121" s="1293"/>
      <c r="AA121" s="481"/>
      <c r="AB121" s="1293"/>
      <c r="AC121" s="1293"/>
      <c r="AD121" s="1293"/>
      <c r="AE121" s="1293"/>
      <c r="AF121" s="1293"/>
      <c r="AG121" s="1559"/>
      <c r="AH121" s="559"/>
      <c r="AI121" s="559"/>
      <c r="AJ121" s="559"/>
      <c r="AK121" s="559"/>
      <c r="AL121" s="1568">
        <v>11</v>
      </c>
    </row>
    <row r="122" spans="1:38" s="1568" customFormat="1" ht="11.45" customHeight="1">
      <c r="A122" s="917"/>
      <c r="B122" s="917"/>
      <c r="C122" s="917"/>
      <c r="D122" s="917"/>
      <c r="E122" s="917"/>
      <c r="F122" s="1563"/>
      <c r="G122" s="1563"/>
      <c r="H122" s="288"/>
      <c r="O122" s="1293"/>
      <c r="Q122" s="1293"/>
      <c r="R122" s="1563"/>
      <c r="S122" s="1563"/>
      <c r="T122" s="1293"/>
      <c r="U122" s="1293"/>
      <c r="V122" s="1293"/>
      <c r="W122" s="1293"/>
      <c r="X122" s="1563"/>
      <c r="Y122" s="1293"/>
      <c r="Z122" s="1293"/>
      <c r="AA122" s="481"/>
      <c r="AB122" s="1293"/>
      <c r="AC122" s="1293"/>
      <c r="AD122" s="1293"/>
      <c r="AE122" s="1293"/>
      <c r="AF122" s="1293"/>
      <c r="AG122" s="1559"/>
      <c r="AH122" s="559"/>
      <c r="AI122" s="559"/>
      <c r="AJ122" s="559"/>
      <c r="AK122" s="559"/>
      <c r="AL122" s="1568">
        <v>11</v>
      </c>
    </row>
    <row r="123" spans="1:38" s="1568" customFormat="1" ht="11.45" customHeight="1">
      <c r="A123" s="917"/>
      <c r="B123" s="917"/>
      <c r="C123" s="917"/>
      <c r="D123" s="917"/>
      <c r="E123" s="917"/>
      <c r="F123" s="1563"/>
      <c r="G123" s="1563"/>
      <c r="H123" s="288"/>
      <c r="O123" s="1293"/>
      <c r="Q123" s="1293"/>
      <c r="R123" s="1563"/>
      <c r="S123" s="1563"/>
      <c r="T123" s="1293"/>
      <c r="U123" s="1293"/>
      <c r="V123" s="1293"/>
      <c r="W123" s="1293"/>
      <c r="X123" s="1563"/>
      <c r="Y123" s="1293"/>
      <c r="Z123" s="1293"/>
      <c r="AA123" s="481"/>
      <c r="AB123" s="1293"/>
      <c r="AC123" s="1293"/>
      <c r="AD123" s="1293"/>
      <c r="AE123" s="1293"/>
      <c r="AF123" s="1293"/>
      <c r="AG123" s="1559"/>
      <c r="AH123" s="559"/>
      <c r="AI123" s="559"/>
      <c r="AJ123" s="559"/>
      <c r="AK123" s="559"/>
      <c r="AL123" s="1568">
        <v>11</v>
      </c>
    </row>
    <row r="124" spans="1:38" s="1568" customFormat="1" ht="11.45" customHeight="1">
      <c r="A124" s="917"/>
      <c r="B124" s="917"/>
      <c r="C124" s="917"/>
      <c r="D124" s="917"/>
      <c r="E124" s="917"/>
      <c r="F124" s="1563"/>
      <c r="G124" s="1563"/>
      <c r="H124" s="288"/>
      <c r="O124" s="1293"/>
      <c r="Q124" s="1293"/>
      <c r="R124" s="1563"/>
      <c r="S124" s="1563"/>
      <c r="T124" s="1293"/>
      <c r="U124" s="1293"/>
      <c r="V124" s="1293"/>
      <c r="W124" s="1293"/>
      <c r="X124" s="1563"/>
      <c r="Y124" s="1293"/>
      <c r="Z124" s="1293"/>
      <c r="AA124" s="481"/>
      <c r="AB124" s="1293"/>
      <c r="AC124" s="1293"/>
      <c r="AD124" s="1293"/>
      <c r="AE124" s="1293"/>
      <c r="AF124" s="1293"/>
      <c r="AG124" s="1559"/>
      <c r="AH124" s="559"/>
      <c r="AI124" s="559"/>
      <c r="AJ124" s="559"/>
      <c r="AK124" s="559"/>
      <c r="AL124" s="1568">
        <v>11</v>
      </c>
    </row>
    <row r="125" spans="1:38" s="1568" customFormat="1" ht="11.45" customHeight="1">
      <c r="A125" s="917"/>
      <c r="B125" s="917"/>
      <c r="C125" s="917"/>
      <c r="D125" s="917"/>
      <c r="E125" s="917"/>
      <c r="F125" s="1563"/>
      <c r="G125" s="1563"/>
      <c r="H125" s="288"/>
      <c r="O125" s="1293"/>
      <c r="Q125" s="1293"/>
      <c r="R125" s="1563"/>
      <c r="S125" s="1563"/>
      <c r="T125" s="1293"/>
      <c r="U125" s="1293"/>
      <c r="V125" s="1293"/>
      <c r="W125" s="1293"/>
      <c r="X125" s="1563"/>
      <c r="Y125" s="1293"/>
      <c r="Z125" s="1293"/>
      <c r="AA125" s="481"/>
      <c r="AB125" s="1293"/>
      <c r="AC125" s="1293"/>
      <c r="AD125" s="1293"/>
      <c r="AE125" s="1293"/>
      <c r="AF125" s="1293"/>
      <c r="AG125" s="1559"/>
      <c r="AH125" s="559"/>
      <c r="AI125" s="559"/>
      <c r="AJ125" s="559"/>
      <c r="AK125" s="559"/>
      <c r="AL125" s="1568">
        <v>11</v>
      </c>
    </row>
    <row r="126" spans="1:38" s="1568" customFormat="1" ht="11.45" customHeight="1">
      <c r="A126" s="917"/>
      <c r="B126" s="917"/>
      <c r="C126" s="917"/>
      <c r="D126" s="917"/>
      <c r="E126" s="917"/>
      <c r="F126" s="1563"/>
      <c r="G126" s="1563"/>
      <c r="H126" s="288"/>
      <c r="O126" s="1293"/>
      <c r="Q126" s="1293"/>
      <c r="R126" s="1563"/>
      <c r="S126" s="1563"/>
      <c r="T126" s="1293"/>
      <c r="U126" s="1293"/>
      <c r="V126" s="1293"/>
      <c r="W126" s="1293"/>
      <c r="X126" s="1563"/>
      <c r="Y126" s="1293"/>
      <c r="Z126" s="1293"/>
      <c r="AA126" s="481"/>
      <c r="AB126" s="1293"/>
      <c r="AC126" s="1293"/>
      <c r="AD126" s="1293"/>
      <c r="AE126" s="1293"/>
      <c r="AF126" s="1293"/>
      <c r="AG126" s="1559"/>
      <c r="AH126" s="559"/>
      <c r="AI126" s="559"/>
      <c r="AJ126" s="559"/>
      <c r="AK126" s="559"/>
      <c r="AL126" s="1568">
        <v>11</v>
      </c>
    </row>
    <row r="127" spans="1:38" s="1568" customFormat="1" ht="11.45" customHeight="1">
      <c r="A127" s="917"/>
      <c r="B127" s="917"/>
      <c r="C127" s="917"/>
      <c r="D127" s="917"/>
      <c r="E127" s="917"/>
      <c r="F127" s="1563"/>
      <c r="G127" s="1563"/>
      <c r="H127" s="288"/>
      <c r="O127" s="1293"/>
      <c r="Q127" s="1293"/>
      <c r="R127" s="1563"/>
      <c r="S127" s="1563"/>
      <c r="T127" s="1293"/>
      <c r="U127" s="1293"/>
      <c r="V127" s="1293"/>
      <c r="W127" s="1293"/>
      <c r="X127" s="1563"/>
      <c r="Y127" s="1293"/>
      <c r="Z127" s="1293"/>
      <c r="AA127" s="481"/>
      <c r="AB127" s="1293"/>
      <c r="AC127" s="1293"/>
      <c r="AD127" s="1293"/>
      <c r="AE127" s="1293"/>
      <c r="AF127" s="1293"/>
      <c r="AG127" s="1559"/>
      <c r="AH127" s="559"/>
      <c r="AI127" s="559"/>
      <c r="AJ127" s="559"/>
      <c r="AK127" s="559"/>
      <c r="AL127" s="1568">
        <v>11</v>
      </c>
    </row>
    <row r="128" spans="1:38" s="1568" customFormat="1" ht="11.45" customHeight="1">
      <c r="A128" s="917"/>
      <c r="B128" s="917"/>
      <c r="C128" s="917"/>
      <c r="D128" s="917"/>
      <c r="E128" s="917"/>
      <c r="F128" s="1563"/>
      <c r="G128" s="1563"/>
      <c r="H128" s="288"/>
      <c r="O128" s="1293"/>
      <c r="Q128" s="1293"/>
      <c r="R128" s="1563"/>
      <c r="S128" s="1563"/>
      <c r="T128" s="1293"/>
      <c r="U128" s="1293"/>
      <c r="V128" s="1293"/>
      <c r="W128" s="1293"/>
      <c r="X128" s="1563"/>
      <c r="Y128" s="1293"/>
      <c r="Z128" s="1293"/>
      <c r="AA128" s="481"/>
      <c r="AB128" s="1293"/>
      <c r="AC128" s="1293"/>
      <c r="AD128" s="1293"/>
      <c r="AE128" s="1293"/>
      <c r="AF128" s="1293"/>
      <c r="AG128" s="1559"/>
      <c r="AH128" s="559"/>
      <c r="AI128" s="559"/>
      <c r="AJ128" s="559"/>
      <c r="AK128" s="559"/>
      <c r="AL128" s="1568">
        <v>11</v>
      </c>
    </row>
    <row r="129" spans="1:38" s="1568" customFormat="1" ht="11.45" customHeight="1">
      <c r="A129" s="917"/>
      <c r="B129" s="917"/>
      <c r="C129" s="917"/>
      <c r="D129" s="917"/>
      <c r="E129" s="917"/>
      <c r="F129" s="1563"/>
      <c r="G129" s="1563"/>
      <c r="H129" s="288"/>
      <c r="O129" s="1293"/>
      <c r="Q129" s="1293"/>
      <c r="R129" s="1563"/>
      <c r="S129" s="1563"/>
      <c r="T129" s="1293"/>
      <c r="U129" s="1293"/>
      <c r="V129" s="1293"/>
      <c r="W129" s="1293"/>
      <c r="X129" s="1563"/>
      <c r="Y129" s="1293"/>
      <c r="Z129" s="1293"/>
      <c r="AA129" s="481"/>
      <c r="AB129" s="1293"/>
      <c r="AC129" s="1293"/>
      <c r="AD129" s="1293"/>
      <c r="AE129" s="1293"/>
      <c r="AF129" s="1293"/>
      <c r="AG129" s="1559"/>
      <c r="AH129" s="559"/>
      <c r="AI129" s="559"/>
      <c r="AJ129" s="559"/>
      <c r="AK129" s="559"/>
      <c r="AL129" s="1568">
        <v>11</v>
      </c>
    </row>
    <row r="130" spans="1:38" s="1568" customFormat="1" ht="11.45" customHeight="1">
      <c r="A130" s="917"/>
      <c r="B130" s="917"/>
      <c r="C130" s="917"/>
      <c r="D130" s="917"/>
      <c r="E130" s="917"/>
      <c r="F130" s="1563"/>
      <c r="G130" s="1563"/>
      <c r="H130" s="288"/>
      <c r="O130" s="1293"/>
      <c r="Q130" s="1293"/>
      <c r="R130" s="1563"/>
      <c r="S130" s="1563"/>
      <c r="T130" s="1293"/>
      <c r="U130" s="1293"/>
      <c r="V130" s="1293"/>
      <c r="W130" s="1293"/>
      <c r="X130" s="1563"/>
      <c r="Y130" s="1293"/>
      <c r="Z130" s="1293"/>
      <c r="AA130" s="481"/>
      <c r="AB130" s="1293"/>
      <c r="AC130" s="1293"/>
      <c r="AD130" s="1293"/>
      <c r="AE130" s="1293"/>
      <c r="AF130" s="1293"/>
      <c r="AG130" s="1559"/>
      <c r="AH130" s="559"/>
      <c r="AI130" s="559"/>
      <c r="AJ130" s="559"/>
      <c r="AK130" s="559"/>
      <c r="AL130" s="1568">
        <v>11</v>
      </c>
    </row>
    <row r="131" spans="1:38" s="1568" customFormat="1" ht="11.45" customHeight="1">
      <c r="A131" s="917"/>
      <c r="B131" s="917"/>
      <c r="C131" s="917"/>
      <c r="D131" s="917"/>
      <c r="E131" s="917"/>
      <c r="F131" s="1563"/>
      <c r="G131" s="1563"/>
      <c r="H131" s="288"/>
      <c r="O131" s="1293"/>
      <c r="Q131" s="1293"/>
      <c r="R131" s="1563"/>
      <c r="S131" s="1563"/>
      <c r="T131" s="1293"/>
      <c r="U131" s="1293"/>
      <c r="V131" s="1293"/>
      <c r="W131" s="1293"/>
      <c r="X131" s="1563"/>
      <c r="Y131" s="1293"/>
      <c r="Z131" s="1293"/>
      <c r="AA131" s="481"/>
      <c r="AB131" s="1293"/>
      <c r="AC131" s="1293"/>
      <c r="AD131" s="1293"/>
      <c r="AE131" s="1293"/>
      <c r="AF131" s="1293"/>
      <c r="AG131" s="1559"/>
      <c r="AH131" s="559"/>
      <c r="AI131" s="559"/>
      <c r="AJ131" s="559"/>
      <c r="AK131" s="559"/>
      <c r="AL131" s="1568">
        <v>11</v>
      </c>
    </row>
    <row r="132" spans="1:38" s="1568" customFormat="1" ht="11.45" customHeight="1">
      <c r="A132" s="917"/>
      <c r="B132" s="917"/>
      <c r="C132" s="917"/>
      <c r="D132" s="917"/>
      <c r="E132" s="917"/>
      <c r="F132" s="1563"/>
      <c r="G132" s="1563"/>
      <c r="H132" s="288"/>
      <c r="O132" s="1293"/>
      <c r="Q132" s="1293"/>
      <c r="R132" s="1563"/>
      <c r="S132" s="1563"/>
      <c r="T132" s="1293"/>
      <c r="U132" s="1293"/>
      <c r="V132" s="1293"/>
      <c r="W132" s="1293"/>
      <c r="X132" s="1563"/>
      <c r="Y132" s="1293"/>
      <c r="Z132" s="1293"/>
      <c r="AA132" s="481"/>
      <c r="AB132" s="1293"/>
      <c r="AC132" s="1293"/>
      <c r="AD132" s="1293"/>
      <c r="AE132" s="1293"/>
      <c r="AF132" s="1293"/>
      <c r="AG132" s="1559"/>
      <c r="AH132" s="559"/>
      <c r="AI132" s="559"/>
      <c r="AJ132" s="559"/>
      <c r="AK132" s="559"/>
      <c r="AL132" s="1568">
        <v>11</v>
      </c>
    </row>
    <row r="133" spans="1:38" s="1568" customFormat="1" ht="11.45" customHeight="1">
      <c r="A133" s="917"/>
      <c r="B133" s="917"/>
      <c r="C133" s="917"/>
      <c r="D133" s="917"/>
      <c r="E133" s="917"/>
      <c r="F133" s="1563"/>
      <c r="G133" s="1563"/>
      <c r="H133" s="288"/>
      <c r="O133" s="1293"/>
      <c r="Q133" s="1293"/>
      <c r="R133" s="1563"/>
      <c r="S133" s="1563"/>
      <c r="T133" s="1293"/>
      <c r="U133" s="1293"/>
      <c r="V133" s="1293"/>
      <c r="W133" s="1293"/>
      <c r="X133" s="1563"/>
      <c r="Y133" s="1293"/>
      <c r="Z133" s="1293"/>
      <c r="AA133" s="481"/>
      <c r="AB133" s="1293"/>
      <c r="AC133" s="1293"/>
      <c r="AD133" s="1293"/>
      <c r="AE133" s="1293"/>
      <c r="AF133" s="1293"/>
      <c r="AG133" s="1559"/>
      <c r="AH133" s="559"/>
      <c r="AI133" s="559"/>
      <c r="AJ133" s="559"/>
      <c r="AK133" s="559"/>
      <c r="AL133" s="1568">
        <v>11</v>
      </c>
    </row>
    <row r="134" spans="1:38" s="1568" customFormat="1" ht="11.45" customHeight="1">
      <c r="A134" s="917"/>
      <c r="B134" s="917"/>
      <c r="C134" s="917"/>
      <c r="D134" s="917"/>
      <c r="E134" s="917"/>
      <c r="F134" s="1563"/>
      <c r="G134" s="1563"/>
      <c r="H134" s="288"/>
      <c r="O134" s="1293"/>
      <c r="Q134" s="1293"/>
      <c r="R134" s="1563"/>
      <c r="S134" s="1563"/>
      <c r="T134" s="1293"/>
      <c r="U134" s="1293"/>
      <c r="V134" s="1293"/>
      <c r="W134" s="1293"/>
      <c r="X134" s="1563"/>
      <c r="Y134" s="1293"/>
      <c r="Z134" s="1293"/>
      <c r="AA134" s="481"/>
      <c r="AB134" s="1293"/>
      <c r="AC134" s="1293"/>
      <c r="AD134" s="1293"/>
      <c r="AE134" s="1293"/>
      <c r="AF134" s="1293"/>
      <c r="AG134" s="1559"/>
      <c r="AH134" s="559"/>
      <c r="AI134" s="559"/>
      <c r="AJ134" s="559"/>
      <c r="AK134" s="559"/>
      <c r="AL134" s="1568">
        <v>11</v>
      </c>
    </row>
    <row r="135" spans="1:38" s="1568" customFormat="1" ht="11.45" customHeight="1">
      <c r="A135" s="917"/>
      <c r="B135" s="917"/>
      <c r="C135" s="917"/>
      <c r="D135" s="917"/>
      <c r="E135" s="917"/>
      <c r="F135" s="1563"/>
      <c r="G135" s="1563"/>
      <c r="H135" s="288"/>
      <c r="O135" s="1293"/>
      <c r="Q135" s="1293"/>
      <c r="R135" s="1563"/>
      <c r="S135" s="1563"/>
      <c r="T135" s="1293"/>
      <c r="U135" s="1293"/>
      <c r="V135" s="1293"/>
      <c r="W135" s="1293"/>
      <c r="X135" s="1563"/>
      <c r="Y135" s="1293"/>
      <c r="Z135" s="1293"/>
      <c r="AA135" s="481"/>
      <c r="AB135" s="1293"/>
      <c r="AC135" s="1293"/>
      <c r="AD135" s="1293"/>
      <c r="AE135" s="1293"/>
      <c r="AF135" s="1293"/>
      <c r="AG135" s="1559"/>
      <c r="AH135" s="559"/>
      <c r="AI135" s="559"/>
      <c r="AJ135" s="559"/>
      <c r="AK135" s="559"/>
      <c r="AL135" s="1568">
        <v>11</v>
      </c>
    </row>
    <row r="136" spans="1:38" s="1568" customFormat="1" ht="11.45" customHeight="1">
      <c r="A136" s="917"/>
      <c r="B136" s="917"/>
      <c r="C136" s="917"/>
      <c r="D136" s="917"/>
      <c r="E136" s="917"/>
      <c r="F136" s="1563"/>
      <c r="G136" s="1563"/>
      <c r="H136" s="288"/>
      <c r="O136" s="1293"/>
      <c r="Q136" s="1293"/>
      <c r="R136" s="1563"/>
      <c r="S136" s="1563"/>
      <c r="T136" s="1293"/>
      <c r="U136" s="1293"/>
      <c r="V136" s="1293"/>
      <c r="W136" s="1293"/>
      <c r="X136" s="1563"/>
      <c r="Y136" s="1293"/>
      <c r="Z136" s="1293"/>
      <c r="AA136" s="481"/>
      <c r="AB136" s="1293"/>
      <c r="AC136" s="1293"/>
      <c r="AD136" s="1293"/>
      <c r="AE136" s="1293"/>
      <c r="AF136" s="1293"/>
      <c r="AG136" s="1559"/>
      <c r="AH136" s="559"/>
      <c r="AI136" s="559"/>
      <c r="AJ136" s="559"/>
      <c r="AK136" s="559"/>
      <c r="AL136" s="1568">
        <v>11</v>
      </c>
    </row>
    <row r="137" spans="1:38" s="1568" customFormat="1" ht="11.45" customHeight="1">
      <c r="A137" s="917"/>
      <c r="B137" s="917"/>
      <c r="C137" s="917"/>
      <c r="D137" s="917"/>
      <c r="E137" s="917"/>
      <c r="F137" s="1563"/>
      <c r="G137" s="1563"/>
      <c r="H137" s="288"/>
      <c r="O137" s="1293"/>
      <c r="Q137" s="1293"/>
      <c r="R137" s="1563"/>
      <c r="S137" s="1563"/>
      <c r="T137" s="1293"/>
      <c r="U137" s="1293"/>
      <c r="V137" s="1293"/>
      <c r="W137" s="1293"/>
      <c r="X137" s="1563"/>
      <c r="Y137" s="1293"/>
      <c r="Z137" s="1293"/>
      <c r="AA137" s="481"/>
      <c r="AB137" s="1293"/>
      <c r="AC137" s="1293"/>
      <c r="AD137" s="1293"/>
      <c r="AE137" s="1293"/>
      <c r="AF137" s="1293"/>
      <c r="AG137" s="1559"/>
      <c r="AH137" s="559"/>
      <c r="AI137" s="559"/>
      <c r="AJ137" s="559"/>
      <c r="AK137" s="559"/>
      <c r="AL137" s="1568">
        <v>11</v>
      </c>
    </row>
    <row r="138" spans="1:38" s="1568" customFormat="1" ht="11.45" customHeight="1">
      <c r="A138" s="917"/>
      <c r="B138" s="917"/>
      <c r="C138" s="917"/>
      <c r="D138" s="917"/>
      <c r="E138" s="917"/>
      <c r="F138" s="1563"/>
      <c r="G138" s="1563"/>
      <c r="H138" s="288"/>
      <c r="O138" s="1293"/>
      <c r="Q138" s="1293"/>
      <c r="R138" s="1563"/>
      <c r="S138" s="1563"/>
      <c r="T138" s="1293"/>
      <c r="U138" s="1293"/>
      <c r="V138" s="1293"/>
      <c r="W138" s="1293"/>
      <c r="X138" s="1563"/>
      <c r="Y138" s="1293"/>
      <c r="Z138" s="1293"/>
      <c r="AA138" s="481"/>
      <c r="AB138" s="1293"/>
      <c r="AC138" s="1293"/>
      <c r="AD138" s="1293"/>
      <c r="AE138" s="1293"/>
      <c r="AF138" s="1293"/>
      <c r="AG138" s="1559"/>
      <c r="AH138" s="559"/>
      <c r="AI138" s="559"/>
      <c r="AJ138" s="559"/>
      <c r="AK138" s="559"/>
      <c r="AL138" s="1568">
        <v>11</v>
      </c>
    </row>
    <row r="139" spans="1:38" s="1568" customFormat="1" ht="11.45" customHeight="1">
      <c r="A139" s="917"/>
      <c r="B139" s="917"/>
      <c r="C139" s="917"/>
      <c r="D139" s="917"/>
      <c r="E139" s="917"/>
      <c r="F139" s="1563"/>
      <c r="G139" s="1563"/>
      <c r="H139" s="288"/>
      <c r="O139" s="1293"/>
      <c r="Q139" s="1293"/>
      <c r="R139" s="1563"/>
      <c r="S139" s="1563"/>
      <c r="T139" s="1293"/>
      <c r="U139" s="1293"/>
      <c r="V139" s="1293"/>
      <c r="W139" s="1293"/>
      <c r="X139" s="1563"/>
      <c r="Y139" s="1293"/>
      <c r="Z139" s="1293"/>
      <c r="AA139" s="481"/>
      <c r="AB139" s="1293"/>
      <c r="AC139" s="1293"/>
      <c r="AD139" s="1293"/>
      <c r="AE139" s="1293"/>
      <c r="AF139" s="1293"/>
      <c r="AG139" s="1559"/>
      <c r="AH139" s="559"/>
      <c r="AI139" s="559"/>
      <c r="AJ139" s="559"/>
      <c r="AK139" s="559"/>
      <c r="AL139" s="1568">
        <v>11</v>
      </c>
    </row>
    <row r="140" spans="1:38" s="1568" customFormat="1" ht="11.45" customHeight="1">
      <c r="A140" s="917"/>
      <c r="B140" s="917"/>
      <c r="C140" s="917"/>
      <c r="D140" s="917"/>
      <c r="E140" s="917"/>
      <c r="F140" s="1563"/>
      <c r="G140" s="1563"/>
      <c r="H140" s="288"/>
      <c r="O140" s="1293"/>
      <c r="Q140" s="1293"/>
      <c r="R140" s="1563"/>
      <c r="S140" s="1563"/>
      <c r="T140" s="1293"/>
      <c r="U140" s="1293"/>
      <c r="V140" s="1293"/>
      <c r="W140" s="1293"/>
      <c r="X140" s="1563"/>
      <c r="Y140" s="1293"/>
      <c r="Z140" s="1293"/>
      <c r="AA140" s="481"/>
      <c r="AB140" s="1293"/>
      <c r="AC140" s="1293"/>
      <c r="AD140" s="1293"/>
      <c r="AE140" s="1293"/>
      <c r="AF140" s="1293"/>
      <c r="AG140" s="1559"/>
      <c r="AH140" s="559"/>
      <c r="AI140" s="559"/>
      <c r="AJ140" s="559"/>
      <c r="AK140" s="559"/>
      <c r="AL140" s="1568">
        <v>11</v>
      </c>
    </row>
    <row r="141" spans="1:38" s="1568" customFormat="1" ht="11.45" customHeight="1">
      <c r="A141" s="917"/>
      <c r="B141" s="917"/>
      <c r="C141" s="917"/>
      <c r="D141" s="917"/>
      <c r="E141" s="917"/>
      <c r="F141" s="1563"/>
      <c r="G141" s="1563"/>
      <c r="H141" s="288"/>
      <c r="O141" s="1293"/>
      <c r="Q141" s="1293"/>
      <c r="R141" s="1563"/>
      <c r="S141" s="1563"/>
      <c r="T141" s="1293"/>
      <c r="U141" s="1293"/>
      <c r="V141" s="1293"/>
      <c r="W141" s="1293"/>
      <c r="X141" s="1563"/>
      <c r="Y141" s="1293"/>
      <c r="Z141" s="1293"/>
      <c r="AA141" s="481"/>
      <c r="AB141" s="1293"/>
      <c r="AC141" s="1293"/>
      <c r="AD141" s="1293"/>
      <c r="AE141" s="1293"/>
      <c r="AF141" s="1293"/>
      <c r="AG141" s="1559"/>
      <c r="AH141" s="559"/>
      <c r="AI141" s="559"/>
      <c r="AJ141" s="559"/>
      <c r="AK141" s="559"/>
      <c r="AL141" s="1568">
        <v>11</v>
      </c>
    </row>
    <row r="142" spans="1:38" s="1568" customFormat="1" ht="11.45" customHeight="1">
      <c r="A142" s="917"/>
      <c r="B142" s="917"/>
      <c r="C142" s="917"/>
      <c r="D142" s="917"/>
      <c r="E142" s="917"/>
      <c r="F142" s="1563"/>
      <c r="G142" s="1563"/>
      <c r="H142" s="288"/>
      <c r="O142" s="1293"/>
      <c r="Q142" s="1293"/>
      <c r="R142" s="1563"/>
      <c r="S142" s="1563"/>
      <c r="T142" s="1293"/>
      <c r="U142" s="1293"/>
      <c r="V142" s="1293"/>
      <c r="W142" s="1293"/>
      <c r="X142" s="1563"/>
      <c r="Y142" s="1293"/>
      <c r="Z142" s="1293"/>
      <c r="AA142" s="481"/>
      <c r="AB142" s="1293"/>
      <c r="AC142" s="1293"/>
      <c r="AD142" s="1293"/>
      <c r="AE142" s="1293"/>
      <c r="AF142" s="1293"/>
      <c r="AG142" s="1559"/>
      <c r="AH142" s="559"/>
      <c r="AI142" s="559"/>
      <c r="AJ142" s="559"/>
      <c r="AK142" s="559"/>
      <c r="AL142" s="1568">
        <v>11</v>
      </c>
    </row>
    <row r="143" spans="1:38" s="1568" customFormat="1" ht="11.45" customHeight="1">
      <c r="A143" s="917"/>
      <c r="B143" s="917"/>
      <c r="C143" s="917"/>
      <c r="D143" s="917"/>
      <c r="E143" s="917"/>
      <c r="F143" s="1563"/>
      <c r="G143" s="1563"/>
      <c r="H143" s="288"/>
      <c r="O143" s="1293"/>
      <c r="Q143" s="1293"/>
      <c r="R143" s="1563"/>
      <c r="S143" s="1563"/>
      <c r="T143" s="1293"/>
      <c r="U143" s="1293"/>
      <c r="V143" s="1293"/>
      <c r="W143" s="1293"/>
      <c r="X143" s="1563"/>
      <c r="Y143" s="1293"/>
      <c r="Z143" s="1293"/>
      <c r="AA143" s="481"/>
      <c r="AB143" s="1293"/>
      <c r="AC143" s="1293"/>
      <c r="AD143" s="1293"/>
      <c r="AE143" s="1293"/>
      <c r="AF143" s="1293"/>
      <c r="AG143" s="1559"/>
      <c r="AH143" s="559"/>
      <c r="AI143" s="559"/>
      <c r="AJ143" s="559"/>
      <c r="AK143" s="559"/>
      <c r="AL143" s="1568">
        <v>11</v>
      </c>
    </row>
    <row r="144" spans="1:38" s="1568" customFormat="1" ht="11.45" customHeight="1">
      <c r="A144" s="917"/>
      <c r="B144" s="917"/>
      <c r="C144" s="917"/>
      <c r="D144" s="917"/>
      <c r="E144" s="917"/>
      <c r="F144" s="1563"/>
      <c r="G144" s="1563"/>
      <c r="H144" s="288"/>
      <c r="O144" s="1293"/>
      <c r="Q144" s="1293"/>
      <c r="R144" s="1563"/>
      <c r="S144" s="1563"/>
      <c r="T144" s="1293"/>
      <c r="U144" s="1293"/>
      <c r="V144" s="1293"/>
      <c r="W144" s="1293"/>
      <c r="X144" s="1563"/>
      <c r="Y144" s="1293"/>
      <c r="Z144" s="1293"/>
      <c r="AA144" s="481"/>
      <c r="AB144" s="1293"/>
      <c r="AC144" s="1293"/>
      <c r="AD144" s="1293"/>
      <c r="AE144" s="1293"/>
      <c r="AF144" s="1293"/>
      <c r="AG144" s="1559"/>
      <c r="AH144" s="559"/>
      <c r="AI144" s="559"/>
      <c r="AJ144" s="559"/>
      <c r="AK144" s="559"/>
      <c r="AL144" s="1568">
        <v>11</v>
      </c>
    </row>
    <row r="145" spans="1:38" s="1568" customFormat="1" ht="11.45" customHeight="1">
      <c r="A145" s="917"/>
      <c r="B145" s="917"/>
      <c r="C145" s="917"/>
      <c r="D145" s="917"/>
      <c r="E145" s="917"/>
      <c r="F145" s="1563"/>
      <c r="G145" s="1563"/>
      <c r="H145" s="288"/>
      <c r="O145" s="1293"/>
      <c r="Q145" s="1293"/>
      <c r="R145" s="1563"/>
      <c r="S145" s="1563"/>
      <c r="T145" s="1293"/>
      <c r="U145" s="1293"/>
      <c r="V145" s="1293"/>
      <c r="W145" s="1293"/>
      <c r="X145" s="1563"/>
      <c r="Y145" s="1293"/>
      <c r="Z145" s="1293"/>
      <c r="AA145" s="481"/>
      <c r="AB145" s="1293"/>
      <c r="AC145" s="1293"/>
      <c r="AD145" s="1293"/>
      <c r="AE145" s="1293"/>
      <c r="AF145" s="1293"/>
      <c r="AG145" s="1559"/>
      <c r="AH145" s="559"/>
      <c r="AI145" s="559"/>
      <c r="AJ145" s="559"/>
      <c r="AK145" s="559"/>
      <c r="AL145" s="1568">
        <v>11</v>
      </c>
    </row>
    <row r="146" spans="1:38" s="1568" customFormat="1" ht="11.45" customHeight="1">
      <c r="A146" s="917"/>
      <c r="B146" s="917"/>
      <c r="C146" s="917"/>
      <c r="D146" s="917"/>
      <c r="E146" s="917"/>
      <c r="F146" s="1563"/>
      <c r="G146" s="1563"/>
      <c r="H146" s="288"/>
      <c r="O146" s="1293"/>
      <c r="Q146" s="1293"/>
      <c r="R146" s="1563"/>
      <c r="S146" s="1563"/>
      <c r="T146" s="1293"/>
      <c r="U146" s="1293"/>
      <c r="V146" s="1293"/>
      <c r="W146" s="1293"/>
      <c r="X146" s="1563"/>
      <c r="Y146" s="1293"/>
      <c r="Z146" s="1293"/>
      <c r="AA146" s="481"/>
      <c r="AB146" s="1293"/>
      <c r="AC146" s="1293"/>
      <c r="AD146" s="1293"/>
      <c r="AE146" s="1293"/>
      <c r="AF146" s="1293"/>
      <c r="AG146" s="1559"/>
      <c r="AH146" s="559"/>
      <c r="AI146" s="559"/>
      <c r="AJ146" s="559"/>
      <c r="AK146" s="559"/>
      <c r="AL146" s="1568">
        <v>11</v>
      </c>
    </row>
    <row r="147" spans="1:38" s="1568" customFormat="1" ht="11.45" customHeight="1">
      <c r="A147" s="917"/>
      <c r="B147" s="917"/>
      <c r="C147" s="917"/>
      <c r="D147" s="917"/>
      <c r="E147" s="917"/>
      <c r="F147" s="1563"/>
      <c r="G147" s="1563"/>
      <c r="H147" s="288"/>
      <c r="O147" s="1293"/>
      <c r="Q147" s="1293"/>
      <c r="R147" s="1563"/>
      <c r="S147" s="1563"/>
      <c r="T147" s="1293"/>
      <c r="U147" s="1293"/>
      <c r="V147" s="1293"/>
      <c r="W147" s="1293"/>
      <c r="X147" s="1563"/>
      <c r="Y147" s="1293"/>
      <c r="Z147" s="1293"/>
      <c r="AA147" s="481"/>
      <c r="AB147" s="1293"/>
      <c r="AC147" s="1293"/>
      <c r="AD147" s="1293"/>
      <c r="AE147" s="1293"/>
      <c r="AF147" s="1293"/>
      <c r="AG147" s="1559"/>
      <c r="AH147" s="559"/>
      <c r="AI147" s="559"/>
      <c r="AJ147" s="559"/>
      <c r="AK147" s="559"/>
      <c r="AL147" s="1568">
        <v>11</v>
      </c>
    </row>
    <row r="148" spans="1:38" s="1568" customFormat="1" ht="11.45" customHeight="1">
      <c r="A148" s="917"/>
      <c r="B148" s="917"/>
      <c r="C148" s="917"/>
      <c r="D148" s="917"/>
      <c r="E148" s="917"/>
      <c r="F148" s="1563"/>
      <c r="G148" s="1563"/>
      <c r="H148" s="288"/>
      <c r="O148" s="1293"/>
      <c r="Q148" s="1293"/>
      <c r="R148" s="1563"/>
      <c r="S148" s="1563"/>
      <c r="T148" s="1293"/>
      <c r="U148" s="1293"/>
      <c r="V148" s="1293"/>
      <c r="W148" s="1293"/>
      <c r="X148" s="1563"/>
      <c r="Y148" s="1293"/>
      <c r="Z148" s="1293"/>
      <c r="AA148" s="481"/>
      <c r="AB148" s="1293"/>
      <c r="AC148" s="1293"/>
      <c r="AD148" s="1293"/>
      <c r="AE148" s="1293"/>
      <c r="AF148" s="1293"/>
      <c r="AG148" s="1559"/>
      <c r="AH148" s="559"/>
      <c r="AI148" s="559"/>
      <c r="AJ148" s="559"/>
      <c r="AK148" s="559"/>
      <c r="AL148" s="1568">
        <v>11</v>
      </c>
    </row>
    <row r="149" spans="1:38" s="1568" customFormat="1" ht="11.45" customHeight="1">
      <c r="A149" s="917"/>
      <c r="B149" s="917"/>
      <c r="C149" s="917"/>
      <c r="D149" s="917"/>
      <c r="E149" s="917"/>
      <c r="F149" s="1563"/>
      <c r="G149" s="1563"/>
      <c r="H149" s="288"/>
      <c r="O149" s="1293"/>
      <c r="Q149" s="1293"/>
      <c r="R149" s="1563"/>
      <c r="S149" s="1563"/>
      <c r="T149" s="1293"/>
      <c r="U149" s="1293"/>
      <c r="V149" s="1293"/>
      <c r="W149" s="1293"/>
      <c r="X149" s="1563"/>
      <c r="Y149" s="1293"/>
      <c r="Z149" s="1293"/>
      <c r="AA149" s="481"/>
      <c r="AB149" s="1293"/>
      <c r="AC149" s="1293"/>
      <c r="AD149" s="1293"/>
      <c r="AE149" s="1293"/>
      <c r="AF149" s="1293"/>
      <c r="AG149" s="1559"/>
      <c r="AH149" s="559"/>
      <c r="AI149" s="559"/>
      <c r="AJ149" s="559"/>
      <c r="AK149" s="559"/>
      <c r="AL149" s="1568">
        <v>11</v>
      </c>
    </row>
    <row r="150" spans="1:38" s="1568" customFormat="1" ht="11.45" customHeight="1">
      <c r="A150" s="917"/>
      <c r="B150" s="917"/>
      <c r="C150" s="917"/>
      <c r="D150" s="917"/>
      <c r="E150" s="917"/>
      <c r="F150" s="1563"/>
      <c r="G150" s="1563"/>
      <c r="H150" s="288"/>
      <c r="O150" s="1293"/>
      <c r="Q150" s="1293"/>
      <c r="R150" s="1563"/>
      <c r="S150" s="1563"/>
      <c r="T150" s="1293"/>
      <c r="U150" s="1293"/>
      <c r="V150" s="1293"/>
      <c r="W150" s="1293"/>
      <c r="X150" s="1563"/>
      <c r="Y150" s="1293"/>
      <c r="Z150" s="1293"/>
      <c r="AA150" s="481"/>
      <c r="AB150" s="1293"/>
      <c r="AC150" s="1293"/>
      <c r="AD150" s="1293"/>
      <c r="AE150" s="1293"/>
      <c r="AF150" s="1293"/>
      <c r="AG150" s="1559"/>
      <c r="AH150" s="559"/>
      <c r="AI150" s="559"/>
      <c r="AJ150" s="559"/>
      <c r="AK150" s="559"/>
      <c r="AL150" s="1568">
        <v>11</v>
      </c>
    </row>
    <row r="151" spans="1:38" s="1568" customFormat="1" ht="11.45" customHeight="1">
      <c r="A151" s="917"/>
      <c r="B151" s="917"/>
      <c r="C151" s="917"/>
      <c r="D151" s="917"/>
      <c r="E151" s="917"/>
      <c r="F151" s="1563"/>
      <c r="G151" s="1563"/>
      <c r="H151" s="288"/>
      <c r="O151" s="1293"/>
      <c r="Q151" s="1293"/>
      <c r="R151" s="1563"/>
      <c r="S151" s="1563"/>
      <c r="T151" s="1293"/>
      <c r="U151" s="1293"/>
      <c r="V151" s="1293"/>
      <c r="W151" s="1293"/>
      <c r="X151" s="1563"/>
      <c r="Y151" s="1293"/>
      <c r="Z151" s="1293"/>
      <c r="AA151" s="481"/>
      <c r="AB151" s="1293"/>
      <c r="AC151" s="1293"/>
      <c r="AD151" s="1293"/>
      <c r="AE151" s="1293"/>
      <c r="AF151" s="1293"/>
      <c r="AG151" s="1559"/>
      <c r="AH151" s="559"/>
      <c r="AI151" s="559"/>
      <c r="AJ151" s="559"/>
      <c r="AK151" s="559"/>
      <c r="AL151" s="1568">
        <v>11</v>
      </c>
    </row>
    <row r="152" spans="1:38" s="1568" customFormat="1" ht="11.45" customHeight="1">
      <c r="A152" s="917"/>
      <c r="B152" s="917"/>
      <c r="C152" s="917"/>
      <c r="D152" s="917"/>
      <c r="E152" s="917"/>
      <c r="F152" s="1563"/>
      <c r="G152" s="1563"/>
      <c r="H152" s="288"/>
      <c r="O152" s="1293"/>
      <c r="Q152" s="1293"/>
      <c r="R152" s="1563"/>
      <c r="S152" s="1563"/>
      <c r="T152" s="1293"/>
      <c r="U152" s="1293"/>
      <c r="V152" s="1293"/>
      <c r="W152" s="1293"/>
      <c r="X152" s="1563"/>
      <c r="Y152" s="1293"/>
      <c r="Z152" s="1293"/>
      <c r="AA152" s="481"/>
      <c r="AB152" s="1293"/>
      <c r="AC152" s="1293"/>
      <c r="AD152" s="1293"/>
      <c r="AE152" s="1293"/>
      <c r="AF152" s="1293"/>
      <c r="AG152" s="1559"/>
      <c r="AH152" s="559"/>
      <c r="AI152" s="559"/>
      <c r="AJ152" s="559"/>
      <c r="AK152" s="559"/>
      <c r="AL152" s="1568">
        <v>11</v>
      </c>
    </row>
    <row r="153" spans="1:38" s="1568" customFormat="1" ht="11.45" customHeight="1">
      <c r="A153" s="917"/>
      <c r="B153" s="917"/>
      <c r="C153" s="917"/>
      <c r="D153" s="917"/>
      <c r="E153" s="917"/>
      <c r="F153" s="1563"/>
      <c r="G153" s="1563"/>
      <c r="H153" s="288"/>
      <c r="O153" s="1293"/>
      <c r="Q153" s="1293"/>
      <c r="R153" s="1563"/>
      <c r="S153" s="1563"/>
      <c r="T153" s="1293"/>
      <c r="U153" s="1293"/>
      <c r="V153" s="1293"/>
      <c r="W153" s="1293"/>
      <c r="X153" s="1563"/>
      <c r="Y153" s="1293"/>
      <c r="Z153" s="1293"/>
      <c r="AA153" s="481"/>
      <c r="AB153" s="1293"/>
      <c r="AC153" s="1293"/>
      <c r="AD153" s="1293"/>
      <c r="AE153" s="1293"/>
      <c r="AF153" s="1293"/>
      <c r="AG153" s="1559"/>
      <c r="AH153" s="559"/>
      <c r="AI153" s="559"/>
      <c r="AJ153" s="559"/>
      <c r="AK153" s="559"/>
      <c r="AL153" s="1568">
        <v>11</v>
      </c>
    </row>
    <row r="154" spans="1:38" s="1568" customFormat="1" ht="11.45" customHeight="1">
      <c r="A154" s="917"/>
      <c r="B154" s="917"/>
      <c r="C154" s="917"/>
      <c r="D154" s="917"/>
      <c r="E154" s="917"/>
      <c r="F154" s="1563"/>
      <c r="G154" s="1563"/>
      <c r="H154" s="288"/>
      <c r="O154" s="1293"/>
      <c r="Q154" s="1293"/>
      <c r="R154" s="1563"/>
      <c r="S154" s="1563"/>
      <c r="T154" s="1293"/>
      <c r="U154" s="1293"/>
      <c r="V154" s="1293"/>
      <c r="W154" s="1293"/>
      <c r="X154" s="1563"/>
      <c r="Y154" s="1293"/>
      <c r="Z154" s="1293"/>
      <c r="AA154" s="481"/>
      <c r="AB154" s="1293"/>
      <c r="AC154" s="1293"/>
      <c r="AD154" s="1293"/>
      <c r="AE154" s="1293"/>
      <c r="AF154" s="1293"/>
      <c r="AG154" s="1559"/>
      <c r="AH154" s="559"/>
      <c r="AI154" s="559"/>
      <c r="AJ154" s="559"/>
      <c r="AK154" s="559"/>
      <c r="AL154" s="1568">
        <v>11</v>
      </c>
    </row>
    <row r="155" spans="1:38" s="1568" customFormat="1" ht="11.45" customHeight="1">
      <c r="A155" s="917"/>
      <c r="B155" s="917"/>
      <c r="C155" s="917"/>
      <c r="D155" s="917"/>
      <c r="E155" s="917"/>
      <c r="F155" s="1563"/>
      <c r="G155" s="1563"/>
      <c r="H155" s="288"/>
      <c r="O155" s="1293"/>
      <c r="Q155" s="1293"/>
      <c r="R155" s="1563"/>
      <c r="S155" s="1563"/>
      <c r="T155" s="1293"/>
      <c r="U155" s="1293"/>
      <c r="V155" s="1293"/>
      <c r="W155" s="1293"/>
      <c r="X155" s="1563"/>
      <c r="Y155" s="1293"/>
      <c r="Z155" s="1293"/>
      <c r="AA155" s="481"/>
      <c r="AB155" s="1293"/>
      <c r="AC155" s="1293"/>
      <c r="AD155" s="1293"/>
      <c r="AE155" s="1293"/>
      <c r="AF155" s="1293"/>
      <c r="AG155" s="1559"/>
      <c r="AH155" s="559"/>
      <c r="AI155" s="559"/>
      <c r="AJ155" s="559"/>
      <c r="AK155" s="559"/>
      <c r="AL155" s="1568">
        <v>11</v>
      </c>
    </row>
    <row r="156" spans="1:38" s="1568" customFormat="1" ht="11.45" customHeight="1">
      <c r="A156" s="917"/>
      <c r="B156" s="917"/>
      <c r="C156" s="917"/>
      <c r="D156" s="917"/>
      <c r="E156" s="917"/>
      <c r="F156" s="1563"/>
      <c r="G156" s="1563"/>
      <c r="H156" s="288"/>
      <c r="O156" s="1293"/>
      <c r="Q156" s="1293"/>
      <c r="R156" s="1563"/>
      <c r="S156" s="1563"/>
      <c r="T156" s="1293"/>
      <c r="U156" s="1293"/>
      <c r="V156" s="1293"/>
      <c r="W156" s="1293"/>
      <c r="X156" s="1563"/>
      <c r="Y156" s="1293"/>
      <c r="Z156" s="1293"/>
      <c r="AA156" s="481"/>
      <c r="AB156" s="1293"/>
      <c r="AC156" s="1293"/>
      <c r="AD156" s="1293"/>
      <c r="AE156" s="1293"/>
      <c r="AF156" s="1293"/>
      <c r="AG156" s="1559"/>
      <c r="AH156" s="559"/>
      <c r="AI156" s="559"/>
      <c r="AJ156" s="559"/>
      <c r="AK156" s="559"/>
      <c r="AL156" s="1568">
        <v>11</v>
      </c>
    </row>
    <row r="157" spans="1:38" s="1568" customFormat="1" ht="11.45" customHeight="1">
      <c r="A157" s="917"/>
      <c r="B157" s="917"/>
      <c r="C157" s="917"/>
      <c r="D157" s="917"/>
      <c r="E157" s="917"/>
      <c r="F157" s="1563"/>
      <c r="G157" s="1563"/>
      <c r="H157" s="288"/>
      <c r="O157" s="1293"/>
      <c r="Q157" s="1293"/>
      <c r="R157" s="1563"/>
      <c r="S157" s="1563"/>
      <c r="T157" s="1293"/>
      <c r="U157" s="1293"/>
      <c r="V157" s="1293"/>
      <c r="W157" s="1293"/>
      <c r="X157" s="1563"/>
      <c r="Y157" s="1293"/>
      <c r="Z157" s="1293"/>
      <c r="AA157" s="481"/>
      <c r="AB157" s="1293"/>
      <c r="AC157" s="1293"/>
      <c r="AD157" s="1293"/>
      <c r="AE157" s="1293"/>
      <c r="AF157" s="1293"/>
      <c r="AG157" s="1559"/>
      <c r="AH157" s="559"/>
      <c r="AI157" s="559"/>
      <c r="AJ157" s="559"/>
      <c r="AK157" s="559"/>
      <c r="AL157" s="1568">
        <v>11</v>
      </c>
    </row>
    <row r="158" spans="1:38" s="1568" customFormat="1" ht="11.45" customHeight="1">
      <c r="A158" s="917"/>
      <c r="B158" s="917"/>
      <c r="C158" s="917"/>
      <c r="D158" s="917"/>
      <c r="E158" s="917"/>
      <c r="F158" s="1563"/>
      <c r="G158" s="1563"/>
      <c r="H158" s="288"/>
      <c r="O158" s="1293"/>
      <c r="Q158" s="1293"/>
      <c r="R158" s="1563"/>
      <c r="S158" s="1563"/>
      <c r="T158" s="1293"/>
      <c r="U158" s="1293"/>
      <c r="V158" s="1293"/>
      <c r="W158" s="1293"/>
      <c r="X158" s="1563"/>
      <c r="Y158" s="1293"/>
      <c r="Z158" s="1293"/>
      <c r="AA158" s="481"/>
      <c r="AB158" s="1293"/>
      <c r="AC158" s="1293"/>
      <c r="AD158" s="1293"/>
      <c r="AE158" s="1293"/>
      <c r="AF158" s="1293"/>
      <c r="AG158" s="1559"/>
      <c r="AH158" s="559"/>
      <c r="AI158" s="559"/>
      <c r="AJ158" s="559"/>
      <c r="AK158" s="559"/>
      <c r="AL158" s="1568">
        <v>11</v>
      </c>
    </row>
    <row r="159" spans="1:38" s="1568" customFormat="1" ht="11.45" customHeight="1">
      <c r="A159" s="917"/>
      <c r="B159" s="917"/>
      <c r="C159" s="917"/>
      <c r="D159" s="917"/>
      <c r="E159" s="917"/>
      <c r="F159" s="1563"/>
      <c r="G159" s="1563"/>
      <c r="H159" s="288"/>
      <c r="O159" s="1293"/>
      <c r="Q159" s="1293"/>
      <c r="R159" s="1563"/>
      <c r="S159" s="1563"/>
      <c r="T159" s="1293"/>
      <c r="U159" s="1293"/>
      <c r="V159" s="1293"/>
      <c r="W159" s="1293"/>
      <c r="X159" s="1563"/>
      <c r="Y159" s="1293"/>
      <c r="Z159" s="1293"/>
      <c r="AA159" s="481"/>
      <c r="AB159" s="1293"/>
      <c r="AC159" s="1293"/>
      <c r="AD159" s="1293"/>
      <c r="AE159" s="1293"/>
      <c r="AF159" s="1293"/>
      <c r="AG159" s="1559"/>
      <c r="AH159" s="559"/>
      <c r="AI159" s="559"/>
      <c r="AJ159" s="559"/>
      <c r="AK159" s="559"/>
      <c r="AL159" s="1568">
        <v>11</v>
      </c>
    </row>
    <row r="160" spans="1:38" s="1568" customFormat="1" ht="11.45" customHeight="1">
      <c r="A160" s="917"/>
      <c r="B160" s="917"/>
      <c r="C160" s="917"/>
      <c r="D160" s="917"/>
      <c r="E160" s="917"/>
      <c r="F160" s="1563"/>
      <c r="G160" s="1563"/>
      <c r="H160" s="288"/>
      <c r="O160" s="1293"/>
      <c r="Q160" s="1293"/>
      <c r="R160" s="1563"/>
      <c r="S160" s="1563"/>
      <c r="T160" s="1293"/>
      <c r="U160" s="1293"/>
      <c r="V160" s="1293"/>
      <c r="W160" s="1293"/>
      <c r="X160" s="1563"/>
      <c r="Y160" s="1293"/>
      <c r="Z160" s="1293"/>
      <c r="AA160" s="481"/>
      <c r="AB160" s="1293"/>
      <c r="AC160" s="1293"/>
      <c r="AD160" s="1293"/>
      <c r="AE160" s="1293"/>
      <c r="AF160" s="1293"/>
      <c r="AG160" s="1559"/>
      <c r="AH160" s="559"/>
      <c r="AI160" s="559"/>
      <c r="AJ160" s="559"/>
      <c r="AK160" s="559"/>
      <c r="AL160" s="1568">
        <v>11</v>
      </c>
    </row>
    <row r="161" spans="1:38" s="1568" customFormat="1" ht="11.45" customHeight="1">
      <c r="A161" s="917"/>
      <c r="B161" s="917"/>
      <c r="C161" s="917"/>
      <c r="D161" s="917"/>
      <c r="E161" s="917"/>
      <c r="F161" s="1563"/>
      <c r="G161" s="1563"/>
      <c r="H161" s="288"/>
      <c r="O161" s="1293"/>
      <c r="Q161" s="1293"/>
      <c r="R161" s="1563"/>
      <c r="S161" s="1563"/>
      <c r="T161" s="1293"/>
      <c r="U161" s="1293"/>
      <c r="V161" s="1293"/>
      <c r="W161" s="1293"/>
      <c r="X161" s="1563"/>
      <c r="Y161" s="1293"/>
      <c r="Z161" s="1293"/>
      <c r="AA161" s="481"/>
      <c r="AB161" s="1293"/>
      <c r="AC161" s="1293"/>
      <c r="AD161" s="1293"/>
      <c r="AE161" s="1293"/>
      <c r="AF161" s="1293"/>
      <c r="AG161" s="1559"/>
      <c r="AH161" s="559"/>
      <c r="AI161" s="559"/>
      <c r="AJ161" s="559"/>
      <c r="AK161" s="559"/>
      <c r="AL161" s="1568">
        <v>11</v>
      </c>
    </row>
    <row r="162" spans="1:38" s="1568" customFormat="1" ht="11.45" customHeight="1">
      <c r="A162" s="917"/>
      <c r="B162" s="917"/>
      <c r="C162" s="917"/>
      <c r="D162" s="917"/>
      <c r="E162" s="917"/>
      <c r="F162" s="1563"/>
      <c r="G162" s="1563"/>
      <c r="H162" s="288"/>
      <c r="O162" s="1293"/>
      <c r="Q162" s="1293"/>
      <c r="R162" s="1563"/>
      <c r="S162" s="1563"/>
      <c r="T162" s="1293"/>
      <c r="U162" s="1293"/>
      <c r="V162" s="1293"/>
      <c r="W162" s="1293"/>
      <c r="X162" s="1563"/>
      <c r="Y162" s="1293"/>
      <c r="Z162" s="1293"/>
      <c r="AA162" s="481"/>
      <c r="AB162" s="1293"/>
      <c r="AC162" s="1293"/>
      <c r="AD162" s="1293"/>
      <c r="AE162" s="1293"/>
      <c r="AF162" s="1293"/>
      <c r="AG162" s="1559"/>
      <c r="AH162" s="559"/>
      <c r="AI162" s="559"/>
      <c r="AJ162" s="559"/>
      <c r="AK162" s="559"/>
      <c r="AL162" s="1568">
        <v>11</v>
      </c>
    </row>
    <row r="163" spans="1:38" s="1568" customFormat="1" ht="11.45" customHeight="1">
      <c r="A163" s="917"/>
      <c r="B163" s="917"/>
      <c r="C163" s="917"/>
      <c r="D163" s="917"/>
      <c r="E163" s="917"/>
      <c r="F163" s="1563"/>
      <c r="G163" s="1563"/>
      <c r="H163" s="288"/>
      <c r="O163" s="1293"/>
      <c r="Q163" s="1293"/>
      <c r="R163" s="1563"/>
      <c r="S163" s="1563"/>
      <c r="T163" s="1293"/>
      <c r="U163" s="1293"/>
      <c r="V163" s="1293"/>
      <c r="W163" s="1293"/>
      <c r="X163" s="1563"/>
      <c r="Y163" s="1293"/>
      <c r="Z163" s="1293"/>
      <c r="AA163" s="481"/>
      <c r="AB163" s="1293"/>
      <c r="AC163" s="1293"/>
      <c r="AD163" s="1293"/>
      <c r="AE163" s="1293"/>
      <c r="AF163" s="1293"/>
      <c r="AG163" s="1559"/>
      <c r="AH163" s="559"/>
      <c r="AI163" s="559"/>
      <c r="AJ163" s="559"/>
      <c r="AK163" s="559"/>
      <c r="AL163" s="1568">
        <v>11</v>
      </c>
    </row>
    <row r="164" spans="1:38" s="1568" customFormat="1" ht="11.45" customHeight="1">
      <c r="A164" s="917"/>
      <c r="B164" s="917"/>
      <c r="C164" s="917"/>
      <c r="D164" s="917"/>
      <c r="E164" s="917"/>
      <c r="F164" s="1563"/>
      <c r="G164" s="1563"/>
      <c r="H164" s="288"/>
      <c r="O164" s="1293"/>
      <c r="Q164" s="1293"/>
      <c r="R164" s="1563"/>
      <c r="S164" s="1563"/>
      <c r="T164" s="1293"/>
      <c r="U164" s="1293"/>
      <c r="V164" s="1293"/>
      <c r="W164" s="1293"/>
      <c r="X164" s="1563"/>
      <c r="Y164" s="1293"/>
      <c r="Z164" s="1293"/>
      <c r="AA164" s="481"/>
      <c r="AB164" s="1293"/>
      <c r="AC164" s="1293"/>
      <c r="AD164" s="1293"/>
      <c r="AE164" s="1293"/>
      <c r="AF164" s="1293"/>
      <c r="AG164" s="1559"/>
      <c r="AH164" s="559"/>
      <c r="AI164" s="559"/>
      <c r="AJ164" s="559"/>
      <c r="AK164" s="559"/>
      <c r="AL164" s="1568">
        <v>11</v>
      </c>
    </row>
    <row r="165" spans="1:38" s="1568" customFormat="1" ht="11.45" customHeight="1">
      <c r="A165" s="917"/>
      <c r="B165" s="917"/>
      <c r="C165" s="917"/>
      <c r="D165" s="917"/>
      <c r="E165" s="917"/>
      <c r="F165" s="1563"/>
      <c r="G165" s="1563"/>
      <c r="H165" s="288"/>
      <c r="O165" s="1293"/>
      <c r="Q165" s="1293"/>
      <c r="R165" s="1563"/>
      <c r="S165" s="1563"/>
      <c r="T165" s="1293"/>
      <c r="U165" s="1293"/>
      <c r="V165" s="1293"/>
      <c r="W165" s="1293"/>
      <c r="X165" s="1563"/>
      <c r="Y165" s="1293"/>
      <c r="Z165" s="1293"/>
      <c r="AA165" s="481"/>
      <c r="AB165" s="1293"/>
      <c r="AC165" s="1293"/>
      <c r="AD165" s="1293"/>
      <c r="AE165" s="1293"/>
      <c r="AF165" s="1293"/>
      <c r="AG165" s="1559"/>
      <c r="AH165" s="559"/>
      <c r="AI165" s="559"/>
      <c r="AJ165" s="559"/>
      <c r="AK165" s="559"/>
      <c r="AL165" s="1568">
        <v>11</v>
      </c>
    </row>
    <row r="166" spans="1:38" s="1568" customFormat="1" ht="11.45" customHeight="1">
      <c r="A166" s="917"/>
      <c r="B166" s="917"/>
      <c r="C166" s="917"/>
      <c r="D166" s="917"/>
      <c r="E166" s="917"/>
      <c r="F166" s="1563"/>
      <c r="G166" s="1563"/>
      <c r="H166" s="288"/>
      <c r="O166" s="1293"/>
      <c r="Q166" s="1293"/>
      <c r="R166" s="1563"/>
      <c r="S166" s="1563"/>
      <c r="T166" s="1293"/>
      <c r="U166" s="1293"/>
      <c r="V166" s="1293"/>
      <c r="W166" s="1293"/>
      <c r="X166" s="1563"/>
      <c r="Y166" s="1293"/>
      <c r="Z166" s="1293"/>
      <c r="AA166" s="481"/>
      <c r="AB166" s="1293"/>
      <c r="AC166" s="1293"/>
      <c r="AD166" s="1293"/>
      <c r="AE166" s="1293"/>
      <c r="AF166" s="1293"/>
      <c r="AG166" s="1559"/>
      <c r="AH166" s="559"/>
      <c r="AI166" s="559"/>
      <c r="AJ166" s="559"/>
      <c r="AK166" s="559"/>
      <c r="AL166" s="1568">
        <v>11</v>
      </c>
    </row>
    <row r="167" spans="1:38" s="1568" customFormat="1" ht="11.45" customHeight="1">
      <c r="A167" s="917"/>
      <c r="B167" s="917"/>
      <c r="C167" s="917"/>
      <c r="D167" s="917"/>
      <c r="E167" s="917"/>
      <c r="F167" s="1563"/>
      <c r="G167" s="1563"/>
      <c r="H167" s="288"/>
      <c r="O167" s="1293"/>
      <c r="Q167" s="1293"/>
      <c r="R167" s="1563"/>
      <c r="S167" s="1563"/>
      <c r="T167" s="1293"/>
      <c r="U167" s="1293"/>
      <c r="V167" s="1293"/>
      <c r="W167" s="1293"/>
      <c r="X167" s="1563"/>
      <c r="Y167" s="1293"/>
      <c r="Z167" s="1293"/>
      <c r="AA167" s="481"/>
      <c r="AB167" s="1293"/>
      <c r="AC167" s="1293"/>
      <c r="AD167" s="1293"/>
      <c r="AE167" s="1293"/>
      <c r="AF167" s="1293"/>
      <c r="AG167" s="1559"/>
      <c r="AH167" s="559"/>
      <c r="AI167" s="559"/>
      <c r="AJ167" s="559"/>
      <c r="AK167" s="559"/>
      <c r="AL167" s="1568">
        <v>11</v>
      </c>
    </row>
    <row r="168" spans="1:38" s="1568" customFormat="1" ht="11.45" customHeight="1">
      <c r="A168" s="917"/>
      <c r="B168" s="917"/>
      <c r="C168" s="917"/>
      <c r="D168" s="917"/>
      <c r="E168" s="917"/>
      <c r="F168" s="1563"/>
      <c r="G168" s="1563"/>
      <c r="H168" s="288"/>
      <c r="O168" s="1293"/>
      <c r="Q168" s="1293"/>
      <c r="R168" s="1563"/>
      <c r="S168" s="1563"/>
      <c r="T168" s="1293"/>
      <c r="U168" s="1293"/>
      <c r="V168" s="1293"/>
      <c r="W168" s="1293"/>
      <c r="X168" s="1563"/>
      <c r="Y168" s="1293"/>
      <c r="Z168" s="1293"/>
      <c r="AA168" s="481"/>
      <c r="AB168" s="1293"/>
      <c r="AC168" s="1293"/>
      <c r="AD168" s="1293"/>
      <c r="AE168" s="1293"/>
      <c r="AF168" s="1293"/>
      <c r="AG168" s="1559"/>
      <c r="AH168" s="559"/>
      <c r="AI168" s="559"/>
      <c r="AJ168" s="559"/>
      <c r="AK168" s="559"/>
      <c r="AL168" s="1568">
        <v>11</v>
      </c>
    </row>
    <row r="169" spans="1:38" s="1568" customFormat="1" ht="11.45" customHeight="1">
      <c r="A169" s="917"/>
      <c r="B169" s="917"/>
      <c r="C169" s="917"/>
      <c r="D169" s="917"/>
      <c r="E169" s="917"/>
      <c r="F169" s="1563"/>
      <c r="G169" s="1563"/>
      <c r="H169" s="288"/>
      <c r="O169" s="1293"/>
      <c r="Q169" s="1293"/>
      <c r="R169" s="1563"/>
      <c r="S169" s="1563"/>
      <c r="T169" s="1293"/>
      <c r="U169" s="1293"/>
      <c r="V169" s="1293"/>
      <c r="W169" s="1293"/>
      <c r="X169" s="1563"/>
      <c r="Y169" s="1293"/>
      <c r="Z169" s="1293"/>
      <c r="AA169" s="481"/>
      <c r="AB169" s="1293"/>
      <c r="AC169" s="1293"/>
      <c r="AD169" s="1293"/>
      <c r="AE169" s="1293"/>
      <c r="AF169" s="1293"/>
      <c r="AG169" s="1559"/>
      <c r="AH169" s="559"/>
      <c r="AI169" s="559"/>
      <c r="AJ169" s="559"/>
      <c r="AK169" s="559"/>
      <c r="AL169" s="1568">
        <v>11</v>
      </c>
    </row>
    <row r="170" spans="1:38" s="1568" customFormat="1" ht="11.45" customHeight="1">
      <c r="A170" s="917"/>
      <c r="B170" s="917"/>
      <c r="C170" s="917"/>
      <c r="D170" s="917"/>
      <c r="E170" s="917"/>
      <c r="F170" s="1563"/>
      <c r="G170" s="1563"/>
      <c r="H170" s="288"/>
      <c r="O170" s="1293"/>
      <c r="Q170" s="1293"/>
      <c r="R170" s="1563"/>
      <c r="S170" s="1563"/>
      <c r="T170" s="1293"/>
      <c r="U170" s="1293"/>
      <c r="V170" s="1293"/>
      <c r="W170" s="1293"/>
      <c r="X170" s="1563"/>
      <c r="Y170" s="1293"/>
      <c r="Z170" s="1293"/>
      <c r="AA170" s="481"/>
      <c r="AB170" s="1293"/>
      <c r="AC170" s="1293"/>
      <c r="AD170" s="1293"/>
      <c r="AE170" s="1293"/>
      <c r="AF170" s="1293"/>
      <c r="AG170" s="1559"/>
      <c r="AH170" s="559"/>
      <c r="AI170" s="559"/>
      <c r="AJ170" s="559"/>
      <c r="AK170" s="559"/>
      <c r="AL170" s="1568">
        <v>11</v>
      </c>
    </row>
    <row r="171" spans="1:38" s="1568" customFormat="1" ht="11.45" customHeight="1">
      <c r="A171" s="917"/>
      <c r="B171" s="917"/>
      <c r="C171" s="917"/>
      <c r="D171" s="917"/>
      <c r="E171" s="917"/>
      <c r="F171" s="1563"/>
      <c r="G171" s="1563"/>
      <c r="H171" s="288"/>
      <c r="O171" s="1293"/>
      <c r="Q171" s="1293"/>
      <c r="R171" s="1563"/>
      <c r="S171" s="1563"/>
      <c r="T171" s="1293"/>
      <c r="U171" s="1293"/>
      <c r="V171" s="1293"/>
      <c r="W171" s="1293"/>
      <c r="X171" s="1563"/>
      <c r="Y171" s="1293"/>
      <c r="Z171" s="1293"/>
      <c r="AA171" s="481"/>
      <c r="AB171" s="1293"/>
      <c r="AC171" s="1293"/>
      <c r="AD171" s="1293"/>
      <c r="AE171" s="1293"/>
      <c r="AF171" s="1293"/>
      <c r="AG171" s="1559"/>
      <c r="AH171" s="559"/>
      <c r="AI171" s="559"/>
      <c r="AJ171" s="559"/>
      <c r="AK171" s="559"/>
      <c r="AL171" s="1568">
        <v>11</v>
      </c>
    </row>
    <row r="172" spans="1:38" s="1568" customFormat="1" ht="11.45" customHeight="1">
      <c r="A172" s="917"/>
      <c r="B172" s="917"/>
      <c r="C172" s="917"/>
      <c r="D172" s="917"/>
      <c r="E172" s="917"/>
      <c r="F172" s="1563"/>
      <c r="G172" s="1563"/>
      <c r="H172" s="288"/>
      <c r="O172" s="1293"/>
      <c r="Q172" s="1293"/>
      <c r="R172" s="1563"/>
      <c r="S172" s="1563"/>
      <c r="T172" s="1293"/>
      <c r="U172" s="1293"/>
      <c r="V172" s="1293"/>
      <c r="W172" s="1293"/>
      <c r="X172" s="1563"/>
      <c r="Y172" s="1293"/>
      <c r="Z172" s="1293"/>
      <c r="AA172" s="481"/>
      <c r="AB172" s="1293"/>
      <c r="AC172" s="1293"/>
      <c r="AD172" s="1293"/>
      <c r="AE172" s="1293"/>
      <c r="AF172" s="1293"/>
      <c r="AG172" s="1559"/>
      <c r="AH172" s="559"/>
      <c r="AI172" s="559"/>
      <c r="AJ172" s="559"/>
      <c r="AK172" s="559"/>
      <c r="AL172" s="1568">
        <v>11</v>
      </c>
    </row>
    <row r="173" spans="1:38" s="1568" customFormat="1" ht="11.45" customHeight="1">
      <c r="A173" s="917"/>
      <c r="B173" s="917"/>
      <c r="C173" s="917"/>
      <c r="D173" s="917"/>
      <c r="E173" s="917"/>
      <c r="F173" s="1563"/>
      <c r="G173" s="1563"/>
      <c r="H173" s="288"/>
      <c r="O173" s="1293"/>
      <c r="Q173" s="1293"/>
      <c r="R173" s="1563"/>
      <c r="S173" s="1563"/>
      <c r="T173" s="1293"/>
      <c r="U173" s="1293"/>
      <c r="V173" s="1293"/>
      <c r="W173" s="1293"/>
      <c r="X173" s="1563"/>
      <c r="Y173" s="1293"/>
      <c r="Z173" s="1293"/>
      <c r="AA173" s="481"/>
      <c r="AB173" s="1293"/>
      <c r="AC173" s="1293"/>
      <c r="AD173" s="1293"/>
      <c r="AE173" s="1293"/>
      <c r="AF173" s="1293"/>
      <c r="AG173" s="1559"/>
      <c r="AH173" s="559"/>
      <c r="AI173" s="559"/>
      <c r="AJ173" s="559"/>
      <c r="AK173" s="559"/>
      <c r="AL173" s="1568">
        <v>11</v>
      </c>
    </row>
    <row r="174" spans="1:38" s="1568" customFormat="1" ht="11.45" customHeight="1">
      <c r="A174" s="917"/>
      <c r="B174" s="917"/>
      <c r="C174" s="917"/>
      <c r="D174" s="917"/>
      <c r="E174" s="917"/>
      <c r="F174" s="1563"/>
      <c r="G174" s="1563"/>
      <c r="H174" s="288"/>
      <c r="O174" s="1293"/>
      <c r="Q174" s="1293"/>
      <c r="R174" s="1563"/>
      <c r="S174" s="1563"/>
      <c r="T174" s="1293"/>
      <c r="U174" s="1293"/>
      <c r="V174" s="1293"/>
      <c r="W174" s="1293"/>
      <c r="X174" s="1563"/>
      <c r="Y174" s="1293"/>
      <c r="Z174" s="1293"/>
      <c r="AA174" s="481"/>
      <c r="AB174" s="1293"/>
      <c r="AC174" s="1293"/>
      <c r="AD174" s="1293"/>
      <c r="AE174" s="1293"/>
      <c r="AF174" s="1293"/>
      <c r="AG174" s="1559"/>
      <c r="AH174" s="559"/>
      <c r="AI174" s="559"/>
      <c r="AJ174" s="559"/>
      <c r="AK174" s="559"/>
      <c r="AL174" s="1568">
        <v>11</v>
      </c>
    </row>
    <row r="175" spans="1:38" s="1568" customFormat="1" ht="11.45" customHeight="1">
      <c r="A175" s="917"/>
      <c r="B175" s="917"/>
      <c r="C175" s="917"/>
      <c r="D175" s="917"/>
      <c r="E175" s="917"/>
      <c r="F175" s="1563"/>
      <c r="G175" s="1563"/>
      <c r="H175" s="288"/>
      <c r="O175" s="1293"/>
      <c r="Q175" s="1293"/>
      <c r="R175" s="1563"/>
      <c r="S175" s="1563"/>
      <c r="T175" s="1293"/>
      <c r="U175" s="1293"/>
      <c r="V175" s="1293"/>
      <c r="W175" s="1293"/>
      <c r="X175" s="1563"/>
      <c r="Y175" s="1293"/>
      <c r="Z175" s="1293"/>
      <c r="AA175" s="481"/>
      <c r="AB175" s="1293"/>
      <c r="AC175" s="1293"/>
      <c r="AD175" s="1293"/>
      <c r="AE175" s="1293"/>
      <c r="AF175" s="1293"/>
      <c r="AG175" s="1559"/>
      <c r="AH175" s="559"/>
      <c r="AI175" s="559"/>
      <c r="AJ175" s="559"/>
      <c r="AK175" s="559"/>
      <c r="AL175" s="1568">
        <v>11</v>
      </c>
    </row>
    <row r="176" spans="1:38" s="1568" customFormat="1" ht="11.45" customHeight="1">
      <c r="A176" s="917"/>
      <c r="B176" s="917"/>
      <c r="C176" s="917"/>
      <c r="D176" s="917"/>
      <c r="E176" s="917"/>
      <c r="F176" s="1563"/>
      <c r="G176" s="1563"/>
      <c r="H176" s="288"/>
      <c r="O176" s="1293"/>
      <c r="Q176" s="1293"/>
      <c r="R176" s="1563"/>
      <c r="S176" s="1563"/>
      <c r="T176" s="1293"/>
      <c r="U176" s="1293"/>
      <c r="V176" s="1293"/>
      <c r="W176" s="1293"/>
      <c r="X176" s="1563"/>
      <c r="Y176" s="1293"/>
      <c r="Z176" s="1293"/>
      <c r="AA176" s="481"/>
      <c r="AB176" s="1293"/>
      <c r="AC176" s="1293"/>
      <c r="AD176" s="1293"/>
      <c r="AE176" s="1293"/>
      <c r="AF176" s="1293"/>
      <c r="AG176" s="1559"/>
      <c r="AH176" s="559"/>
      <c r="AI176" s="559"/>
      <c r="AJ176" s="559"/>
      <c r="AK176" s="559"/>
      <c r="AL176" s="1568">
        <v>11</v>
      </c>
    </row>
    <row r="177" spans="1:38" s="1568" customFormat="1" ht="11.45" customHeight="1">
      <c r="A177" s="917"/>
      <c r="B177" s="917"/>
      <c r="C177" s="917"/>
      <c r="D177" s="917"/>
      <c r="E177" s="917"/>
      <c r="F177" s="1563"/>
      <c r="G177" s="1563"/>
      <c r="H177" s="288"/>
      <c r="O177" s="1293"/>
      <c r="Q177" s="1293"/>
      <c r="R177" s="1563"/>
      <c r="S177" s="1563"/>
      <c r="T177" s="1293"/>
      <c r="U177" s="1293"/>
      <c r="V177" s="1293"/>
      <c r="W177" s="1293"/>
      <c r="X177" s="1563"/>
      <c r="Y177" s="1293"/>
      <c r="Z177" s="1293"/>
      <c r="AA177" s="481"/>
      <c r="AB177" s="1293"/>
      <c r="AC177" s="1293"/>
      <c r="AD177" s="1293"/>
      <c r="AE177" s="1293"/>
      <c r="AF177" s="1293"/>
      <c r="AG177" s="1559"/>
      <c r="AH177" s="559"/>
      <c r="AI177" s="559"/>
      <c r="AJ177" s="559"/>
      <c r="AK177" s="559"/>
      <c r="AL177" s="1568">
        <v>11</v>
      </c>
    </row>
    <row r="178" spans="1:38" s="1568" customFormat="1" ht="11.45" customHeight="1">
      <c r="A178" s="917"/>
      <c r="B178" s="917"/>
      <c r="C178" s="917"/>
      <c r="D178" s="917"/>
      <c r="E178" s="917"/>
      <c r="F178" s="1563"/>
      <c r="G178" s="1563"/>
      <c r="H178" s="288"/>
      <c r="O178" s="1293"/>
      <c r="Q178" s="1293"/>
      <c r="R178" s="1563"/>
      <c r="S178" s="1563"/>
      <c r="T178" s="1293"/>
      <c r="U178" s="1293"/>
      <c r="V178" s="1293"/>
      <c r="W178" s="1293"/>
      <c r="X178" s="1563"/>
      <c r="Y178" s="1293"/>
      <c r="Z178" s="1293"/>
      <c r="AA178" s="481"/>
      <c r="AB178" s="1293"/>
      <c r="AC178" s="1293"/>
      <c r="AD178" s="1293"/>
      <c r="AE178" s="1293"/>
      <c r="AF178" s="1293"/>
      <c r="AG178" s="1559"/>
      <c r="AH178" s="559"/>
      <c r="AI178" s="559"/>
      <c r="AJ178" s="559"/>
      <c r="AK178" s="559"/>
      <c r="AL178" s="1568">
        <v>11</v>
      </c>
    </row>
    <row r="179" spans="1:38" s="1568" customFormat="1" ht="11.45" customHeight="1">
      <c r="A179" s="917"/>
      <c r="B179" s="917"/>
      <c r="C179" s="917"/>
      <c r="D179" s="917"/>
      <c r="E179" s="917"/>
      <c r="F179" s="1563"/>
      <c r="G179" s="1563"/>
      <c r="H179" s="288"/>
      <c r="O179" s="1293"/>
      <c r="Q179" s="1293"/>
      <c r="R179" s="1563"/>
      <c r="S179" s="1563"/>
      <c r="T179" s="1293"/>
      <c r="U179" s="1293"/>
      <c r="V179" s="1293"/>
      <c r="W179" s="1293"/>
      <c r="X179" s="1563"/>
      <c r="Y179" s="1293"/>
      <c r="Z179" s="1293"/>
      <c r="AA179" s="481"/>
      <c r="AB179" s="1293"/>
      <c r="AC179" s="1293"/>
      <c r="AD179" s="1293"/>
      <c r="AE179" s="1293"/>
      <c r="AF179" s="1293"/>
      <c r="AG179" s="1559"/>
      <c r="AH179" s="559"/>
      <c r="AI179" s="559"/>
      <c r="AJ179" s="559"/>
      <c r="AK179" s="559"/>
      <c r="AL179" s="1568">
        <v>11</v>
      </c>
    </row>
    <row r="180" spans="1:38" s="1568" customFormat="1" ht="11.45" customHeight="1">
      <c r="A180" s="917"/>
      <c r="B180" s="917"/>
      <c r="C180" s="917"/>
      <c r="D180" s="917"/>
      <c r="E180" s="917"/>
      <c r="F180" s="1563"/>
      <c r="G180" s="1563"/>
      <c r="H180" s="288"/>
      <c r="O180" s="1293"/>
      <c r="Q180" s="1293"/>
      <c r="R180" s="1563"/>
      <c r="S180" s="1563"/>
      <c r="T180" s="1293"/>
      <c r="U180" s="1293"/>
      <c r="V180" s="1293"/>
      <c r="W180" s="1293"/>
      <c r="X180" s="1563"/>
      <c r="Y180" s="1293"/>
      <c r="Z180" s="1293"/>
      <c r="AA180" s="481"/>
      <c r="AB180" s="1293"/>
      <c r="AC180" s="1293"/>
      <c r="AD180" s="1293"/>
      <c r="AE180" s="1293"/>
      <c r="AF180" s="1293"/>
      <c r="AG180" s="1559"/>
      <c r="AH180" s="559"/>
      <c r="AI180" s="559"/>
      <c r="AJ180" s="559"/>
      <c r="AK180" s="559"/>
      <c r="AL180" s="1568">
        <v>11</v>
      </c>
    </row>
    <row r="181" spans="1:38" s="1568" customFormat="1" ht="11.45" customHeight="1">
      <c r="A181" s="917"/>
      <c r="B181" s="917"/>
      <c r="C181" s="917"/>
      <c r="D181" s="917"/>
      <c r="E181" s="917"/>
      <c r="F181" s="1563"/>
      <c r="G181" s="1563"/>
      <c r="H181" s="288"/>
      <c r="O181" s="1293"/>
      <c r="Q181" s="1293"/>
      <c r="R181" s="1563"/>
      <c r="S181" s="1563"/>
      <c r="T181" s="1293"/>
      <c r="U181" s="1293"/>
      <c r="V181" s="1293"/>
      <c r="W181" s="1293"/>
      <c r="X181" s="1563"/>
      <c r="Y181" s="1293"/>
      <c r="Z181" s="1293"/>
      <c r="AA181" s="481"/>
      <c r="AB181" s="1293"/>
      <c r="AC181" s="1293"/>
      <c r="AD181" s="1293"/>
      <c r="AE181" s="1293"/>
      <c r="AF181" s="1293"/>
      <c r="AG181" s="1559"/>
      <c r="AH181" s="559"/>
      <c r="AI181" s="559"/>
      <c r="AJ181" s="559"/>
      <c r="AK181" s="559"/>
      <c r="AL181" s="1568">
        <v>11</v>
      </c>
    </row>
    <row r="182" spans="1:38" s="1568" customFormat="1" ht="11.45" customHeight="1">
      <c r="A182" s="917"/>
      <c r="B182" s="917"/>
      <c r="C182" s="917"/>
      <c r="D182" s="917"/>
      <c r="E182" s="917"/>
      <c r="F182" s="1563"/>
      <c r="G182" s="1563"/>
      <c r="H182" s="288"/>
      <c r="O182" s="1293"/>
      <c r="Q182" s="1293"/>
      <c r="R182" s="1563"/>
      <c r="S182" s="1563"/>
      <c r="T182" s="1293"/>
      <c r="U182" s="1293"/>
      <c r="V182" s="1293"/>
      <c r="W182" s="1293"/>
      <c r="X182" s="1563"/>
      <c r="Y182" s="1293"/>
      <c r="Z182" s="1293"/>
      <c r="AA182" s="481"/>
      <c r="AB182" s="1293"/>
      <c r="AC182" s="1293"/>
      <c r="AD182" s="1293"/>
      <c r="AE182" s="1293"/>
      <c r="AF182" s="1293"/>
      <c r="AG182" s="1559"/>
      <c r="AH182" s="559"/>
      <c r="AI182" s="559"/>
      <c r="AJ182" s="559"/>
      <c r="AK182" s="559"/>
      <c r="AL182" s="1568">
        <v>11</v>
      </c>
    </row>
    <row r="183" spans="1:38" s="1568" customFormat="1" ht="11.45" customHeight="1">
      <c r="A183" s="917"/>
      <c r="B183" s="917"/>
      <c r="C183" s="917"/>
      <c r="D183" s="917"/>
      <c r="E183" s="917"/>
      <c r="F183" s="1563"/>
      <c r="G183" s="1563"/>
      <c r="H183" s="288"/>
      <c r="O183" s="1293"/>
      <c r="Q183" s="1293"/>
      <c r="R183" s="1563"/>
      <c r="S183" s="1563"/>
      <c r="T183" s="1293"/>
      <c r="U183" s="1293"/>
      <c r="V183" s="1293"/>
      <c r="W183" s="1293"/>
      <c r="X183" s="1563"/>
      <c r="Y183" s="1293"/>
      <c r="Z183" s="1293"/>
      <c r="AA183" s="481"/>
      <c r="AB183" s="1293"/>
      <c r="AC183" s="1293"/>
      <c r="AD183" s="1293"/>
      <c r="AE183" s="1293"/>
      <c r="AF183" s="1293"/>
      <c r="AG183" s="1559"/>
      <c r="AH183" s="559"/>
      <c r="AI183" s="559"/>
      <c r="AJ183" s="559"/>
      <c r="AK183" s="559"/>
      <c r="AL183" s="1568">
        <v>11</v>
      </c>
    </row>
    <row r="184" spans="1:38" s="1568" customFormat="1" ht="11.45" customHeight="1">
      <c r="A184" s="917"/>
      <c r="B184" s="917"/>
      <c r="C184" s="917"/>
      <c r="D184" s="917"/>
      <c r="E184" s="917"/>
      <c r="F184" s="1563"/>
      <c r="G184" s="1563"/>
      <c r="H184" s="288"/>
      <c r="O184" s="1293"/>
      <c r="Q184" s="1293"/>
      <c r="R184" s="1563"/>
      <c r="S184" s="1563"/>
      <c r="T184" s="1293"/>
      <c r="U184" s="1293"/>
      <c r="V184" s="1293"/>
      <c r="W184" s="1293"/>
      <c r="X184" s="1563"/>
      <c r="Y184" s="1293"/>
      <c r="Z184" s="1293"/>
      <c r="AA184" s="481"/>
      <c r="AB184" s="1293"/>
      <c r="AC184" s="1293"/>
      <c r="AD184" s="1293"/>
      <c r="AE184" s="1293"/>
      <c r="AF184" s="1293"/>
      <c r="AG184" s="1559"/>
      <c r="AH184" s="559"/>
      <c r="AI184" s="559"/>
      <c r="AJ184" s="559"/>
      <c r="AK184" s="559"/>
      <c r="AL184" s="1568">
        <v>11</v>
      </c>
    </row>
    <row r="185" spans="1:38" s="1568" customFormat="1" ht="11.45" customHeight="1">
      <c r="A185" s="917"/>
      <c r="B185" s="917"/>
      <c r="C185" s="917"/>
      <c r="D185" s="917"/>
      <c r="E185" s="917"/>
      <c r="F185" s="1563"/>
      <c r="G185" s="1563"/>
      <c r="H185" s="288"/>
      <c r="O185" s="1293"/>
      <c r="Q185" s="1293"/>
      <c r="R185" s="1563"/>
      <c r="S185" s="1563"/>
      <c r="T185" s="1293"/>
      <c r="U185" s="1293"/>
      <c r="V185" s="1293"/>
      <c r="W185" s="1293"/>
      <c r="X185" s="1563"/>
      <c r="Y185" s="1293"/>
      <c r="Z185" s="1293"/>
      <c r="AA185" s="481"/>
      <c r="AB185" s="1293"/>
      <c r="AC185" s="1293"/>
      <c r="AD185" s="1293"/>
      <c r="AE185" s="1293"/>
      <c r="AF185" s="1293"/>
      <c r="AG185" s="1559"/>
      <c r="AH185" s="559"/>
      <c r="AI185" s="559"/>
      <c r="AJ185" s="559"/>
      <c r="AK185" s="559"/>
      <c r="AL185" s="1568">
        <v>11</v>
      </c>
    </row>
    <row r="186" spans="1:38" s="1568" customFormat="1" ht="11.45" customHeight="1">
      <c r="A186" s="917"/>
      <c r="B186" s="917"/>
      <c r="C186" s="917"/>
      <c r="D186" s="917"/>
      <c r="E186" s="917"/>
      <c r="F186" s="1563"/>
      <c r="G186" s="1563"/>
      <c r="H186" s="288"/>
      <c r="O186" s="1293"/>
      <c r="Q186" s="1293"/>
      <c r="R186" s="1563"/>
      <c r="S186" s="1563"/>
      <c r="T186" s="1293"/>
      <c r="U186" s="1293"/>
      <c r="V186" s="1293"/>
      <c r="W186" s="1293"/>
      <c r="X186" s="1563"/>
      <c r="Y186" s="1293"/>
      <c r="Z186" s="1293"/>
      <c r="AA186" s="481"/>
      <c r="AB186" s="1293"/>
      <c r="AC186" s="1293"/>
      <c r="AD186" s="1293"/>
      <c r="AE186" s="1293"/>
      <c r="AF186" s="1293"/>
      <c r="AG186" s="1559"/>
      <c r="AH186" s="559"/>
      <c r="AI186" s="559"/>
      <c r="AJ186" s="559"/>
      <c r="AK186" s="559"/>
      <c r="AL186" s="1568">
        <v>11</v>
      </c>
    </row>
    <row r="187" spans="1:38" s="1568" customFormat="1" ht="11.45" customHeight="1">
      <c r="A187" s="917"/>
      <c r="B187" s="917"/>
      <c r="C187" s="917"/>
      <c r="D187" s="917"/>
      <c r="E187" s="917"/>
      <c r="F187" s="1563"/>
      <c r="G187" s="1563"/>
      <c r="H187" s="288"/>
      <c r="O187" s="1293"/>
      <c r="Q187" s="1293"/>
      <c r="R187" s="1563"/>
      <c r="S187" s="1563"/>
      <c r="T187" s="1293"/>
      <c r="U187" s="1293"/>
      <c r="V187" s="1293"/>
      <c r="W187" s="1293"/>
      <c r="X187" s="1563"/>
      <c r="Y187" s="1293"/>
      <c r="Z187" s="1293"/>
      <c r="AA187" s="481"/>
      <c r="AB187" s="1293"/>
      <c r="AC187" s="1293"/>
      <c r="AD187" s="1293"/>
      <c r="AE187" s="1293"/>
      <c r="AF187" s="1293"/>
      <c r="AG187" s="1559"/>
      <c r="AH187" s="559"/>
      <c r="AI187" s="559"/>
      <c r="AJ187" s="559"/>
      <c r="AK187" s="559"/>
      <c r="AL187" s="1568">
        <v>11</v>
      </c>
    </row>
    <row r="188" spans="1:38" s="1568" customFormat="1" ht="11.45" customHeight="1">
      <c r="A188" s="917"/>
      <c r="B188" s="917"/>
      <c r="C188" s="917"/>
      <c r="D188" s="917"/>
      <c r="E188" s="917"/>
      <c r="F188" s="1563"/>
      <c r="G188" s="1563"/>
      <c r="H188" s="288"/>
      <c r="O188" s="1293"/>
      <c r="Q188" s="1293"/>
      <c r="R188" s="1563"/>
      <c r="S188" s="1563"/>
      <c r="T188" s="1293"/>
      <c r="U188" s="1293"/>
      <c r="V188" s="1293"/>
      <c r="W188" s="1293"/>
      <c r="X188" s="1563"/>
      <c r="Y188" s="1293"/>
      <c r="Z188" s="1293"/>
      <c r="AA188" s="481"/>
      <c r="AB188" s="1293"/>
      <c r="AC188" s="1293"/>
      <c r="AD188" s="1293"/>
      <c r="AE188" s="1293"/>
      <c r="AF188" s="1293"/>
      <c r="AG188" s="1559"/>
      <c r="AH188" s="559"/>
      <c r="AI188" s="559"/>
      <c r="AJ188" s="559"/>
      <c r="AK188" s="559"/>
      <c r="AL188" s="1568">
        <v>11</v>
      </c>
    </row>
    <row r="189" spans="1:38" s="1568" customFormat="1" ht="11.45" customHeight="1">
      <c r="A189" s="917"/>
      <c r="B189" s="917"/>
      <c r="C189" s="917"/>
      <c r="D189" s="917"/>
      <c r="E189" s="917"/>
      <c r="F189" s="1563"/>
      <c r="G189" s="1563"/>
      <c r="H189" s="288"/>
      <c r="O189" s="1293"/>
      <c r="Q189" s="1293"/>
      <c r="R189" s="1563"/>
      <c r="S189" s="1563"/>
      <c r="T189" s="1293"/>
      <c r="U189" s="1293"/>
      <c r="V189" s="1293"/>
      <c r="W189" s="1293"/>
      <c r="X189" s="1563"/>
      <c r="Y189" s="1293"/>
      <c r="Z189" s="1293"/>
      <c r="AA189" s="481"/>
      <c r="AB189" s="1293"/>
      <c r="AC189" s="1293"/>
      <c r="AD189" s="1293"/>
      <c r="AE189" s="1293"/>
      <c r="AF189" s="1293"/>
      <c r="AG189" s="1559"/>
      <c r="AH189" s="559"/>
      <c r="AI189" s="559"/>
      <c r="AJ189" s="559"/>
      <c r="AK189" s="559"/>
      <c r="AL189" s="1568">
        <v>11</v>
      </c>
    </row>
    <row r="190" spans="1:38" ht="11.45" customHeight="1">
      <c r="AL190" s="1558">
        <v>11</v>
      </c>
    </row>
    <row r="191" spans="1:38" ht="11.45" customHeight="1">
      <c r="AL191" s="1558">
        <v>11</v>
      </c>
    </row>
    <row r="192" spans="1:38" ht="11.45" customHeight="1">
      <c r="AL192" s="1558">
        <v>11</v>
      </c>
    </row>
    <row r="193" spans="1:38" ht="11.45" customHeight="1">
      <c r="A193" s="920"/>
      <c r="B193" s="920"/>
      <c r="C193" s="920"/>
      <c r="D193" s="920"/>
      <c r="E193" s="920"/>
      <c r="F193" s="1558"/>
      <c r="H193" s="1558"/>
      <c r="O193" s="1558"/>
      <c r="Q193" s="1558"/>
      <c r="T193" s="1558"/>
      <c r="U193" s="1558"/>
      <c r="V193" s="1558"/>
      <c r="W193" s="1558"/>
      <c r="Y193" s="1558"/>
      <c r="Z193" s="1558"/>
      <c r="AA193" s="1558"/>
      <c r="AB193" s="1558"/>
      <c r="AC193" s="1558"/>
      <c r="AD193" s="1558"/>
      <c r="AE193" s="1558"/>
      <c r="AF193" s="1558"/>
      <c r="AG193" s="1558"/>
      <c r="AH193" s="1558"/>
      <c r="AI193" s="1558"/>
      <c r="AJ193" s="1558"/>
      <c r="AK193" s="1558"/>
      <c r="AL193" s="1558">
        <v>11</v>
      </c>
    </row>
    <row r="194" spans="1:38" ht="11.45" customHeight="1">
      <c r="A194" s="920"/>
      <c r="B194" s="920"/>
      <c r="C194" s="920"/>
      <c r="D194" s="920"/>
      <c r="E194" s="920"/>
      <c r="F194" s="1558"/>
      <c r="H194" s="1558"/>
      <c r="O194" s="1558"/>
      <c r="Q194" s="1558"/>
      <c r="T194" s="1558"/>
      <c r="U194" s="1558"/>
      <c r="V194" s="1558"/>
      <c r="W194" s="1558"/>
      <c r="Y194" s="1558"/>
      <c r="Z194" s="1558"/>
      <c r="AA194" s="1558"/>
      <c r="AB194" s="1558"/>
      <c r="AC194" s="1558"/>
      <c r="AD194" s="1558"/>
      <c r="AE194" s="1558"/>
      <c r="AF194" s="1558"/>
      <c r="AG194" s="1558"/>
      <c r="AH194" s="1558"/>
      <c r="AI194" s="1558"/>
      <c r="AJ194" s="1558"/>
      <c r="AK194" s="1558"/>
      <c r="AL194" s="1558">
        <v>11</v>
      </c>
    </row>
    <row r="195" spans="1:38" ht="11.45" customHeight="1">
      <c r="A195" s="920"/>
      <c r="B195" s="920"/>
      <c r="C195" s="920"/>
      <c r="D195" s="920"/>
      <c r="E195" s="920"/>
      <c r="F195" s="1558"/>
      <c r="H195" s="1558"/>
      <c r="O195" s="1558"/>
      <c r="Q195" s="1558"/>
      <c r="T195" s="1558"/>
      <c r="U195" s="1558"/>
      <c r="V195" s="1558"/>
      <c r="W195" s="1558"/>
      <c r="Y195" s="1558"/>
      <c r="Z195" s="1558"/>
      <c r="AA195" s="1558"/>
      <c r="AB195" s="1558"/>
      <c r="AC195" s="1558"/>
      <c r="AD195" s="1558"/>
      <c r="AE195" s="1558"/>
      <c r="AF195" s="1558"/>
      <c r="AG195" s="1558"/>
      <c r="AH195" s="1558"/>
      <c r="AI195" s="1558"/>
      <c r="AJ195" s="1558"/>
      <c r="AK195" s="1558"/>
      <c r="AL195" s="1558">
        <v>11</v>
      </c>
    </row>
    <row r="196" spans="1:38" ht="11.45" customHeight="1">
      <c r="A196" s="920"/>
      <c r="B196" s="920"/>
      <c r="C196" s="920"/>
      <c r="D196" s="920"/>
      <c r="E196" s="920"/>
      <c r="F196" s="1558"/>
      <c r="H196" s="1558"/>
      <c r="O196" s="1558"/>
      <c r="Q196" s="1558"/>
      <c r="T196" s="1558"/>
      <c r="U196" s="1558"/>
      <c r="V196" s="1558"/>
      <c r="W196" s="1558"/>
      <c r="Y196" s="1558"/>
      <c r="Z196" s="1558"/>
      <c r="AA196" s="1558"/>
      <c r="AB196" s="1558"/>
      <c r="AC196" s="1558"/>
      <c r="AD196" s="1558"/>
      <c r="AE196" s="1558"/>
      <c r="AF196" s="1558"/>
      <c r="AG196" s="1558"/>
      <c r="AH196" s="1558"/>
      <c r="AI196" s="1558"/>
      <c r="AJ196" s="1558"/>
      <c r="AK196" s="1558"/>
      <c r="AL196" s="1558">
        <v>11</v>
      </c>
    </row>
    <row r="197" spans="1:38" ht="11.45" customHeight="1">
      <c r="A197" s="920"/>
      <c r="B197" s="920"/>
      <c r="C197" s="920"/>
      <c r="D197" s="920"/>
      <c r="E197" s="920"/>
      <c r="F197" s="1558"/>
      <c r="H197" s="1558"/>
      <c r="O197" s="1558"/>
      <c r="Q197" s="1558"/>
      <c r="T197" s="1558"/>
      <c r="U197" s="1558"/>
      <c r="V197" s="1558"/>
      <c r="W197" s="1558"/>
      <c r="Y197" s="1558"/>
      <c r="Z197" s="1558"/>
      <c r="AA197" s="1558"/>
      <c r="AB197" s="1558"/>
      <c r="AC197" s="1558"/>
      <c r="AD197" s="1558"/>
      <c r="AE197" s="1558"/>
      <c r="AF197" s="1558"/>
      <c r="AG197" s="1558"/>
      <c r="AH197" s="1558"/>
      <c r="AI197" s="1558"/>
      <c r="AJ197" s="1558"/>
      <c r="AK197" s="1558"/>
      <c r="AL197" s="1558">
        <v>11</v>
      </c>
    </row>
    <row r="198" spans="1:38" ht="11.45" customHeight="1">
      <c r="A198" s="920"/>
      <c r="B198" s="920"/>
      <c r="C198" s="920"/>
      <c r="D198" s="920"/>
      <c r="E198" s="920"/>
      <c r="F198" s="1558"/>
      <c r="H198" s="1558"/>
      <c r="O198" s="1558"/>
      <c r="Q198" s="1558"/>
      <c r="T198" s="1558"/>
      <c r="U198" s="1558"/>
      <c r="V198" s="1558"/>
      <c r="W198" s="1558"/>
      <c r="Y198" s="1558"/>
      <c r="Z198" s="1558"/>
      <c r="AA198" s="1558"/>
      <c r="AB198" s="1558"/>
      <c r="AC198" s="1558"/>
      <c r="AD198" s="1558"/>
      <c r="AE198" s="1558"/>
      <c r="AF198" s="1558"/>
      <c r="AG198" s="1558"/>
      <c r="AH198" s="1558"/>
      <c r="AI198" s="1558"/>
      <c r="AJ198" s="1558"/>
      <c r="AK198" s="1558"/>
      <c r="AL198" s="1558">
        <v>11</v>
      </c>
    </row>
    <row r="199" spans="1:38" ht="11.45" customHeight="1">
      <c r="A199" s="920"/>
      <c r="B199" s="920"/>
      <c r="C199" s="920"/>
      <c r="D199" s="920"/>
      <c r="E199" s="920"/>
      <c r="F199" s="1558"/>
      <c r="H199" s="1558"/>
      <c r="O199" s="1558"/>
      <c r="Q199" s="1558"/>
      <c r="T199" s="1558"/>
      <c r="U199" s="1558"/>
      <c r="V199" s="1558"/>
      <c r="W199" s="1558"/>
      <c r="Y199" s="1558"/>
      <c r="Z199" s="1558"/>
      <c r="AA199" s="1558"/>
      <c r="AB199" s="1558"/>
      <c r="AC199" s="1558"/>
      <c r="AD199" s="1558"/>
      <c r="AE199" s="1558"/>
      <c r="AF199" s="1558"/>
      <c r="AG199" s="1558"/>
      <c r="AH199" s="1558"/>
      <c r="AI199" s="1558"/>
      <c r="AJ199" s="1558"/>
      <c r="AK199" s="1558"/>
      <c r="AL199" s="1558">
        <v>11</v>
      </c>
    </row>
    <row r="200" spans="1:38" ht="11.45" customHeight="1">
      <c r="A200" s="920"/>
      <c r="B200" s="920"/>
      <c r="C200" s="920"/>
      <c r="D200" s="920"/>
      <c r="E200" s="920"/>
      <c r="F200" s="1558"/>
      <c r="H200" s="1558"/>
      <c r="O200" s="1558"/>
      <c r="Q200" s="1558"/>
      <c r="T200" s="1558"/>
      <c r="U200" s="1558"/>
      <c r="V200" s="1558"/>
      <c r="W200" s="1558"/>
      <c r="Y200" s="1558"/>
      <c r="Z200" s="1558"/>
      <c r="AA200" s="1558"/>
      <c r="AB200" s="1558"/>
      <c r="AC200" s="1558"/>
      <c r="AD200" s="1558"/>
      <c r="AE200" s="1558"/>
      <c r="AF200" s="1558"/>
      <c r="AG200" s="1558"/>
      <c r="AH200" s="1558"/>
      <c r="AI200" s="1558"/>
      <c r="AJ200" s="1558"/>
      <c r="AK200" s="1558"/>
      <c r="AL200" s="1558">
        <v>11</v>
      </c>
    </row>
    <row r="201" spans="1:38" ht="11.45" customHeight="1">
      <c r="A201" s="920"/>
      <c r="B201" s="920"/>
      <c r="C201" s="920"/>
      <c r="D201" s="920"/>
      <c r="E201" s="920"/>
      <c r="F201" s="1558"/>
      <c r="H201" s="1558"/>
      <c r="O201" s="1558"/>
      <c r="Q201" s="1558"/>
      <c r="T201" s="1558"/>
      <c r="U201" s="1558"/>
      <c r="V201" s="1558"/>
      <c r="W201" s="1558"/>
      <c r="Y201" s="1558"/>
      <c r="Z201" s="1558"/>
      <c r="AA201" s="1558"/>
      <c r="AB201" s="1558"/>
      <c r="AC201" s="1558"/>
      <c r="AD201" s="1558"/>
      <c r="AE201" s="1558"/>
      <c r="AF201" s="1558"/>
      <c r="AG201" s="1558"/>
      <c r="AH201" s="1558"/>
      <c r="AI201" s="1558"/>
      <c r="AJ201" s="1558"/>
      <c r="AK201" s="1558"/>
      <c r="AL201" s="1558">
        <v>11</v>
      </c>
    </row>
    <row r="202" spans="1:38" ht="11.45" customHeight="1">
      <c r="A202" s="920"/>
      <c r="B202" s="920"/>
      <c r="C202" s="920"/>
      <c r="D202" s="920"/>
      <c r="E202" s="920"/>
      <c r="F202" s="1558"/>
      <c r="H202" s="1558"/>
      <c r="O202" s="1558"/>
      <c r="Q202" s="1558"/>
      <c r="T202" s="1558"/>
      <c r="U202" s="1558"/>
      <c r="V202" s="1558"/>
      <c r="W202" s="1558"/>
      <c r="Y202" s="1558"/>
      <c r="Z202" s="1558"/>
      <c r="AA202" s="1558"/>
      <c r="AB202" s="1558"/>
      <c r="AC202" s="1558"/>
      <c r="AD202" s="1558"/>
      <c r="AE202" s="1558"/>
      <c r="AF202" s="1558"/>
      <c r="AG202" s="1558"/>
      <c r="AH202" s="1558"/>
      <c r="AI202" s="1558"/>
      <c r="AJ202" s="1558"/>
      <c r="AK202" s="1558"/>
      <c r="AL202" s="1558">
        <v>11</v>
      </c>
    </row>
    <row r="203" spans="1:38" ht="11.45" customHeight="1">
      <c r="A203" s="920"/>
      <c r="B203" s="920"/>
      <c r="C203" s="920"/>
      <c r="D203" s="920"/>
      <c r="E203" s="920"/>
      <c r="F203" s="1558"/>
      <c r="H203" s="1558"/>
      <c r="O203" s="1558"/>
      <c r="Q203" s="1558"/>
      <c r="T203" s="1558"/>
      <c r="U203" s="1558"/>
      <c r="V203" s="1558"/>
      <c r="W203" s="1558"/>
      <c r="Y203" s="1558"/>
      <c r="Z203" s="1558"/>
      <c r="AA203" s="1558"/>
      <c r="AB203" s="1558"/>
      <c r="AC203" s="1558"/>
      <c r="AD203" s="1558"/>
      <c r="AE203" s="1558"/>
      <c r="AF203" s="1558"/>
      <c r="AG203" s="1558"/>
      <c r="AH203" s="1558"/>
      <c r="AI203" s="1558"/>
      <c r="AJ203" s="1558"/>
      <c r="AK203" s="1558"/>
      <c r="AL203" s="1558">
        <v>11</v>
      </c>
    </row>
    <row r="204" spans="1:38" ht="12.75" hidden="1" customHeight="1">
      <c r="A204" s="917" t="s">
        <v>81</v>
      </c>
      <c r="B204" s="917" t="s">
        <v>153</v>
      </c>
      <c r="C204" s="917" t="s">
        <v>153</v>
      </c>
      <c r="D204" s="917" t="s">
        <v>153</v>
      </c>
      <c r="E204" s="917" t="s">
        <v>153</v>
      </c>
      <c r="F204" s="1562">
        <v>16</v>
      </c>
      <c r="G204" s="1563">
        <v>0</v>
      </c>
      <c r="H204" s="1562">
        <v>3</v>
      </c>
      <c r="I204" s="1558">
        <v>7</v>
      </c>
      <c r="J204" s="1558">
        <v>56</v>
      </c>
      <c r="K204" s="1558">
        <v>10</v>
      </c>
      <c r="L204" s="1558">
        <v>40</v>
      </c>
      <c r="M204" s="1558">
        <v>40</v>
      </c>
      <c r="N204" s="1562">
        <v>40</v>
      </c>
      <c r="O204" s="1293">
        <v>9</v>
      </c>
      <c r="P204" s="1558">
        <v>102</v>
      </c>
      <c r="Q204" s="1293">
        <v>9</v>
      </c>
      <c r="R204" s="1563">
        <v>5</v>
      </c>
      <c r="S204" s="1563">
        <v>3</v>
      </c>
      <c r="T204" s="1293">
        <v>3</v>
      </c>
      <c r="U204" s="1293">
        <v>3</v>
      </c>
      <c r="V204" s="1293">
        <v>3</v>
      </c>
      <c r="W204" s="1293">
        <v>3</v>
      </c>
      <c r="X204" s="1563">
        <v>10</v>
      </c>
      <c r="Y204" s="1293">
        <v>34</v>
      </c>
      <c r="Z204" s="1293">
        <v>9</v>
      </c>
      <c r="AA204" s="481">
        <v>8</v>
      </c>
      <c r="AB204" s="1293">
        <v>8</v>
      </c>
      <c r="AC204" s="1293">
        <v>8</v>
      </c>
      <c r="AD204" s="1293">
        <v>8</v>
      </c>
      <c r="AE204" s="1293">
        <v>8</v>
      </c>
      <c r="AF204" s="1293">
        <v>8</v>
      </c>
      <c r="AG204" s="1559">
        <v>8</v>
      </c>
      <c r="AH204" s="1559">
        <v>8</v>
      </c>
      <c r="AI204" s="1559">
        <v>8</v>
      </c>
      <c r="AJ204" s="1559">
        <v>8</v>
      </c>
      <c r="AK204" s="1559">
        <v>8</v>
      </c>
      <c r="AL204" s="1558">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690</v>
      </c>
      <c r="C2" s="1976" t="s">
        <v>691</v>
      </c>
      <c r="D2" s="1975" t="s">
        <v>630</v>
      </c>
      <c r="E2" s="1981">
        <f>I2-3</f>
        <v>-3</v>
      </c>
      <c r="F2" s="1981">
        <f>J2</f>
        <v>0</v>
      </c>
      <c r="H2" s="1657" t="s">
        <v>120</v>
      </c>
      <c r="I2" s="1947"/>
      <c r="J2" s="1609"/>
      <c r="K2" s="1941" t="s">
        <v>308</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00" t="s">
        <v>692</v>
      </c>
      <c r="J5" s="2200"/>
      <c r="K5" s="2200"/>
      <c r="L5" s="2200"/>
      <c r="M5" s="203"/>
      <c r="W5" s="1558">
        <v>48</v>
      </c>
    </row>
    <row r="6" spans="1:23" ht="18" customHeight="1">
      <c r="H6" s="313"/>
      <c r="I6" s="2172" t="str">
        <f>IF(org=0,"Не определено",org)</f>
        <v>МУП "Михайловское водопроводно-канализационное хозяйство"</v>
      </c>
      <c r="J6" s="2172"/>
      <c r="K6" s="2172"/>
      <c r="L6" s="2172"/>
      <c r="M6" s="203"/>
      <c r="W6" s="1558">
        <v>17</v>
      </c>
    </row>
    <row r="7" spans="1:23" ht="14.65" customHeight="1">
      <c r="H7" s="313"/>
      <c r="I7" s="394"/>
      <c r="J7" s="400"/>
      <c r="K7" s="400"/>
      <c r="L7" s="689"/>
      <c r="M7" s="130"/>
      <c r="W7" s="1558">
        <v>14</v>
      </c>
    </row>
    <row r="8" spans="1:23" ht="14.65" customHeight="1">
      <c r="H8" s="313"/>
      <c r="I8" s="2323" t="s">
        <v>302</v>
      </c>
      <c r="J8" s="2324"/>
      <c r="K8" s="2324"/>
      <c r="L8" s="2325"/>
      <c r="M8" s="2326" t="s">
        <v>303</v>
      </c>
      <c r="W8" s="1558">
        <v>14</v>
      </c>
    </row>
    <row r="9" spans="1:23" ht="35.65" customHeight="1">
      <c r="E9" s="1974" t="s">
        <v>621</v>
      </c>
      <c r="F9" s="1974" t="s">
        <v>627</v>
      </c>
      <c r="H9" s="313"/>
      <c r="I9" s="1948" t="s">
        <v>87</v>
      </c>
      <c r="J9" s="1949" t="s">
        <v>304</v>
      </c>
      <c r="K9" s="1987" t="s">
        <v>568</v>
      </c>
      <c r="L9" s="1988" t="s">
        <v>305</v>
      </c>
      <c r="M9" s="2326"/>
      <c r="W9" s="1558">
        <v>34</v>
      </c>
    </row>
    <row r="10" spans="1:23" ht="35.65" customHeight="1">
      <c r="B10" s="1976" t="s">
        <v>693</v>
      </c>
      <c r="C10" s="1976" t="s">
        <v>694</v>
      </c>
      <c r="D10" s="1975" t="s">
        <v>630</v>
      </c>
      <c r="E10" s="1979" t="s">
        <v>631</v>
      </c>
      <c r="F10" s="1979" t="s">
        <v>631</v>
      </c>
      <c r="H10" s="313"/>
      <c r="I10" s="1947" t="s">
        <v>108</v>
      </c>
      <c r="J10" s="1812" t="s">
        <v>695</v>
      </c>
      <c r="K10" s="1941" t="s">
        <v>308</v>
      </c>
      <c r="L10" s="749"/>
      <c r="M10" s="234" t="s">
        <v>696</v>
      </c>
      <c r="W10" s="1558">
        <v>34</v>
      </c>
    </row>
    <row r="11" spans="1:23" ht="50.25" customHeight="1">
      <c r="B11" s="1976" t="s">
        <v>697</v>
      </c>
      <c r="C11" s="1976" t="s">
        <v>698</v>
      </c>
      <c r="D11" s="1975" t="s">
        <v>630</v>
      </c>
      <c r="E11" s="1979" t="s">
        <v>631</v>
      </c>
      <c r="F11" s="1979" t="s">
        <v>631</v>
      </c>
      <c r="H11" s="313"/>
      <c r="I11" s="1947" t="s">
        <v>109</v>
      </c>
      <c r="J11" s="1812" t="s">
        <v>699</v>
      </c>
      <c r="K11" s="1941" t="s">
        <v>308</v>
      </c>
      <c r="L11" s="749"/>
      <c r="M11" s="234" t="s">
        <v>696</v>
      </c>
      <c r="W11" s="1558">
        <v>48</v>
      </c>
    </row>
    <row r="12" spans="1:23" ht="48.2" customHeight="1">
      <c r="B12" s="1976" t="s">
        <v>700</v>
      </c>
      <c r="C12" s="1976" t="s">
        <v>701</v>
      </c>
      <c r="D12" s="1975" t="s">
        <v>630</v>
      </c>
      <c r="E12" s="1979" t="s">
        <v>631</v>
      </c>
      <c r="F12" s="1979" t="s">
        <v>631</v>
      </c>
      <c r="H12" s="1615"/>
      <c r="I12" s="1947" t="s">
        <v>89</v>
      </c>
      <c r="J12" s="1954" t="s">
        <v>702</v>
      </c>
      <c r="K12" s="1941" t="s">
        <v>308</v>
      </c>
      <c r="L12" s="749"/>
      <c r="M12" s="234" t="s">
        <v>703</v>
      </c>
      <c r="N12" s="1551"/>
      <c r="P12" s="1558"/>
      <c r="W12" s="1558">
        <v>46</v>
      </c>
    </row>
    <row r="13" spans="1:23" ht="14.65" customHeight="1">
      <c r="E13" s="280"/>
      <c r="H13" s="313"/>
      <c r="I13" s="284"/>
      <c r="J13" s="588" t="s">
        <v>704</v>
      </c>
      <c r="K13" s="508"/>
      <c r="L13" s="151"/>
      <c r="M13" s="234"/>
      <c r="W13" s="1558">
        <v>14</v>
      </c>
    </row>
    <row r="14" spans="1:23" ht="14.65" customHeight="1">
      <c r="E14" s="280"/>
      <c r="H14" s="313"/>
      <c r="I14" s="987"/>
      <c r="J14" s="1604"/>
      <c r="K14" s="1605"/>
      <c r="L14" s="1606"/>
      <c r="M14" s="1951"/>
      <c r="W14" s="1558">
        <v>14</v>
      </c>
    </row>
    <row r="15" spans="1:23" ht="14.65" customHeight="1">
      <c r="I15" s="1608"/>
      <c r="J15" s="2218"/>
      <c r="K15" s="2218"/>
      <c r="L15" s="2218"/>
      <c r="M15" s="2218"/>
      <c r="W15" s="1558">
        <v>14</v>
      </c>
    </row>
    <row r="16" spans="1:23" ht="21" hidden="1" customHeight="1">
      <c r="A16" s="1953" t="s">
        <v>81</v>
      </c>
      <c r="B16" s="1558">
        <v>9</v>
      </c>
      <c r="C16" s="1558">
        <v>9</v>
      </c>
      <c r="D16" s="1558">
        <v>9</v>
      </c>
      <c r="E16" s="1953" t="s">
        <v>152</v>
      </c>
      <c r="F16" s="1978" t="s">
        <v>152</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10.42578125" style="1562" hidden="1" customWidth="1"/>
  </cols>
  <sheetData>
    <row r="1" spans="1:33" s="1293" customFormat="1" ht="22.5" hidden="1" customHeight="1">
      <c r="A1" s="917"/>
      <c r="C1" s="1563"/>
      <c r="D1" s="474"/>
      <c r="H1" s="1087">
        <v>4</v>
      </c>
      <c r="I1" s="1087">
        <v>4</v>
      </c>
      <c r="J1" s="1293">
        <v>4</v>
      </c>
      <c r="M1" s="1563"/>
      <c r="N1" s="1563"/>
      <c r="S1" s="1563"/>
      <c r="AG1" s="1087" t="s">
        <v>14</v>
      </c>
    </row>
    <row r="2" spans="1:33" s="1293" customFormat="1" ht="22.5" hidden="1" customHeight="1">
      <c r="A2" s="917"/>
      <c r="C2" s="1563"/>
      <c r="D2" s="475"/>
      <c r="E2" s="1564"/>
      <c r="F2" s="477"/>
      <c r="G2" s="1566" t="s">
        <v>554</v>
      </c>
      <c r="H2" s="478"/>
      <c r="I2" s="478"/>
      <c r="J2" s="688"/>
      <c r="K2" s="479" t="s">
        <v>705</v>
      </c>
      <c r="L2" s="480"/>
      <c r="M2" s="1563"/>
      <c r="N2" s="1563"/>
      <c r="S2" s="1563"/>
      <c r="V2" s="481"/>
      <c r="AB2" s="1559"/>
      <c r="AC2" s="1559"/>
      <c r="AD2" s="1559"/>
      <c r="AE2" s="1559"/>
      <c r="AF2" s="1559"/>
      <c r="AG2" s="1087">
        <v>0</v>
      </c>
    </row>
    <row r="3" spans="1:33" ht="11.25" hidden="1" customHeight="1">
      <c r="AG3" s="1558">
        <v>0</v>
      </c>
    </row>
    <row r="4" spans="1:33" s="1559" customFormat="1" ht="11.25" hidden="1" customHeight="1">
      <c r="A4" s="917"/>
      <c r="B4" s="1087"/>
      <c r="C4" s="1563"/>
      <c r="D4" s="299"/>
      <c r="K4" s="1559">
        <v>4</v>
      </c>
      <c r="L4" s="1087"/>
      <c r="M4" s="1563"/>
      <c r="N4" s="1563"/>
      <c r="O4" s="1087"/>
      <c r="P4" s="1087"/>
      <c r="Q4" s="1087"/>
      <c r="R4" s="1087"/>
      <c r="S4" s="1563"/>
      <c r="T4" s="1087"/>
      <c r="U4" s="1087"/>
      <c r="V4" s="481"/>
      <c r="W4" s="1087"/>
      <c r="X4" s="1087"/>
      <c r="Y4" s="1087"/>
      <c r="Z4" s="1087"/>
      <c r="AA4" s="1087"/>
      <c r="AG4" s="1559">
        <v>0</v>
      </c>
    </row>
    <row r="5" spans="1:33" ht="11.45" customHeight="1">
      <c r="AG5" s="1558">
        <v>11</v>
      </c>
    </row>
    <row r="6" spans="1:33" ht="31.5" customHeight="1">
      <c r="E6" s="2149" t="s">
        <v>706</v>
      </c>
      <c r="F6" s="2149"/>
      <c r="G6" s="2149"/>
      <c r="H6" s="2149"/>
      <c r="I6" s="2149"/>
      <c r="J6" s="2010"/>
      <c r="K6" s="493"/>
      <c r="AG6" s="1558">
        <v>30</v>
      </c>
    </row>
    <row r="7" spans="1:33" ht="11.45" customHeight="1">
      <c r="E7" s="2172" t="str">
        <f>IF(org=0,"Не определено",org)</f>
        <v>МУП "Михайловское водопроводно-канализационное хозяйство"</v>
      </c>
      <c r="F7" s="2172"/>
      <c r="G7" s="2172"/>
      <c r="H7" s="2172"/>
      <c r="I7" s="2172"/>
      <c r="J7" s="2005"/>
      <c r="AG7" s="1558">
        <v>11</v>
      </c>
    </row>
    <row r="8" spans="1:33" ht="11.45" customHeight="1">
      <c r="E8" s="1062"/>
      <c r="F8" s="1062"/>
      <c r="G8" s="1062"/>
      <c r="H8" s="1062"/>
      <c r="I8" s="1062"/>
      <c r="J8" s="1063" t="s">
        <v>22</v>
      </c>
      <c r="AG8" s="1558">
        <v>11</v>
      </c>
    </row>
    <row r="9" spans="1:33" s="1569" customFormat="1" ht="4.1500000000000004" customHeight="1">
      <c r="A9" s="1094"/>
      <c r="H9" s="819"/>
      <c r="I9" s="819" t="s">
        <v>117</v>
      </c>
      <c r="J9" s="819" t="s">
        <v>122</v>
      </c>
      <c r="AG9" s="1563">
        <v>4</v>
      </c>
    </row>
    <row r="10" spans="1:33" ht="11.45" customHeight="1">
      <c r="E10" s="648"/>
      <c r="F10" s="2306" t="s">
        <v>104</v>
      </c>
      <c r="G10" s="2307"/>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водоснабжения</v>
      </c>
      <c r="J10" s="2015" t="str">
        <f>IF(J9="","",INDEX(DIFFERENTIATION_UNMERGE_VD,MATCH(J9,DIFFERENTIATION_ID_DIFF,0)))</f>
        <v>Подключение (технологическое присоединение) к централизованной системе водоснабжения</v>
      </c>
      <c r="K10" s="2091"/>
      <c r="AG10" s="1558">
        <v>11</v>
      </c>
    </row>
    <row r="11" spans="1:33" ht="11.45" customHeight="1">
      <c r="E11" s="648"/>
      <c r="F11" s="2306" t="s">
        <v>566</v>
      </c>
      <c r="G11" s="2307"/>
      <c r="H11" s="1479" t="str">
        <f>IF(H9="","",INDEX(DIFFERENTIATION_UNMERGE_AREA,MATCH(H9,DIFFERENTIATION_ID_DIFF,0)))</f>
        <v/>
      </c>
      <c r="I11" s="1479" t="str">
        <f>IF(I9="","",INDEX(DIFFERENTIATION_UNMERGE_AREA,MATCH(I9,DIFFERENTIATION_ID_DIFF,0)))</f>
        <v>без дифференциации</v>
      </c>
      <c r="J11" s="2015" t="str">
        <f>IF(J9="","",INDEX(DIFFERENTIATION_UNMERGE_AREA,MATCH(J9,DIFFERENTIATION_ID_DIFF,0)))</f>
        <v>без дифференциации</v>
      </c>
      <c r="K11" s="2091"/>
      <c r="AG11" s="1558">
        <v>11</v>
      </c>
    </row>
    <row r="12" spans="1:33" ht="1.1499999999999999" customHeight="1">
      <c r="E12" s="1589"/>
      <c r="F12" s="2327" t="s">
        <v>567</v>
      </c>
      <c r="G12" s="2328"/>
      <c r="H12" s="1590" t="str">
        <f>IF(H9="","",INDEX(DIFFERENTIATION_UNMERGE_SYSTEM,MATCH(H9,DIFFERENTIATION_ID_DIFF,0)))</f>
        <v/>
      </c>
      <c r="I12" s="1590" t="str">
        <f>IF(I9="","",INDEX(DIFFERENTIATION_UNMERGE_SYSTEM,MATCH(I9,DIFFERENTIATION_ID_DIFF,0)))</f>
        <v>Централизованная система водоснабжения (питьевая вода)</v>
      </c>
      <c r="J12" s="1590" t="str">
        <f>IF(J9="","",INDEX(DIFFERENTIATION_UNMERGE_SYSTEM,MATCH(J9,DIFFERENTIATION_ID_DIFF,0)))</f>
        <v>Централизованная система водоснабжения (техническая вода)</v>
      </c>
      <c r="K12" s="2091"/>
      <c r="AG12" s="1558">
        <v>1</v>
      </c>
    </row>
    <row r="13" spans="1:33" ht="11.45" customHeight="1">
      <c r="E13" s="2308" t="s">
        <v>302</v>
      </c>
      <c r="F13" s="2309"/>
      <c r="G13" s="2309"/>
      <c r="H13" s="1478"/>
      <c r="I13" s="1478"/>
      <c r="J13" s="2013"/>
      <c r="K13" s="2091"/>
      <c r="AG13" s="1558">
        <v>11</v>
      </c>
    </row>
    <row r="14" spans="1:33" ht="24" customHeight="1">
      <c r="E14" s="1566" t="s">
        <v>87</v>
      </c>
      <c r="F14" s="1561" t="s">
        <v>304</v>
      </c>
      <c r="G14" s="1561" t="s">
        <v>568</v>
      </c>
      <c r="H14" s="1561" t="s">
        <v>305</v>
      </c>
      <c r="I14" s="1561" t="s">
        <v>305</v>
      </c>
      <c r="J14" s="2011" t="s">
        <v>305</v>
      </c>
      <c r="K14" s="2091"/>
      <c r="AG14" s="1558">
        <v>23</v>
      </c>
    </row>
    <row r="15" spans="1:33" ht="19.899999999999999" customHeight="1">
      <c r="D15" s="1565"/>
      <c r="E15" s="1557" t="s">
        <v>108</v>
      </c>
      <c r="F15" s="644" t="s">
        <v>707</v>
      </c>
      <c r="G15" s="1573" t="s">
        <v>554</v>
      </c>
      <c r="H15" s="494"/>
      <c r="I15" s="494"/>
      <c r="J15" s="494"/>
      <c r="K15" s="226" t="s">
        <v>708</v>
      </c>
      <c r="L15" s="480" t="s">
        <v>633</v>
      </c>
      <c r="AG15" s="1558">
        <v>19</v>
      </c>
    </row>
    <row r="16" spans="1:33" ht="35.65" customHeight="1">
      <c r="D16" s="1565"/>
      <c r="E16" s="1557" t="s">
        <v>109</v>
      </c>
      <c r="F16" s="644" t="s">
        <v>709</v>
      </c>
      <c r="G16" s="1573" t="s">
        <v>554</v>
      </c>
      <c r="H16" s="495">
        <f>SUM(H17,H20:H32)</f>
        <v>0</v>
      </c>
      <c r="I16" s="495">
        <f>SUM(I17,I20,I23,I26,I29:I32)</f>
        <v>0</v>
      </c>
      <c r="J16" s="495">
        <f>SUM(J17,J20:J32)</f>
        <v>0</v>
      </c>
      <c r="K16" s="226" t="s">
        <v>710</v>
      </c>
      <c r="L16" s="480" t="s">
        <v>633</v>
      </c>
      <c r="AG16" s="1558">
        <v>34</v>
      </c>
    </row>
    <row r="17" spans="1:33" ht="19.899999999999999" customHeight="1">
      <c r="D17" s="1565"/>
      <c r="E17" s="1591" t="s">
        <v>711</v>
      </c>
      <c r="F17" s="884" t="s">
        <v>712</v>
      </c>
      <c r="G17" s="1570" t="s">
        <v>554</v>
      </c>
      <c r="H17" s="494"/>
      <c r="I17" s="494"/>
      <c r="J17" s="494"/>
      <c r="K17" s="226" t="s">
        <v>713</v>
      </c>
      <c r="L17" s="480"/>
      <c r="AG17" s="1558">
        <v>19</v>
      </c>
    </row>
    <row r="18" spans="1:33" ht="24" customHeight="1">
      <c r="D18" s="1565"/>
      <c r="E18" s="1591" t="s">
        <v>714</v>
      </c>
      <c r="F18" s="1577" t="s">
        <v>715</v>
      </c>
      <c r="G18" s="1570" t="s">
        <v>554</v>
      </c>
      <c r="H18" s="494"/>
      <c r="I18" s="494"/>
      <c r="J18" s="494"/>
      <c r="K18" s="226" t="s">
        <v>716</v>
      </c>
      <c r="L18" s="480"/>
      <c r="AG18" s="1558">
        <v>23</v>
      </c>
    </row>
    <row r="19" spans="1:33" ht="35.65" customHeight="1">
      <c r="D19" s="1565"/>
      <c r="E19" s="1591" t="s">
        <v>717</v>
      </c>
      <c r="F19" s="1577" t="s">
        <v>718</v>
      </c>
      <c r="G19" s="1570" t="s">
        <v>554</v>
      </c>
      <c r="H19" s="494"/>
      <c r="I19" s="494"/>
      <c r="J19" s="494"/>
      <c r="K19" s="226"/>
      <c r="L19" s="480"/>
      <c r="AG19" s="1558">
        <v>34</v>
      </c>
    </row>
    <row r="20" spans="1:33" ht="19.899999999999999" customHeight="1">
      <c r="D20" s="1565"/>
      <c r="E20" s="1591" t="s">
        <v>309</v>
      </c>
      <c r="F20" s="884" t="s">
        <v>719</v>
      </c>
      <c r="G20" s="1570" t="s">
        <v>554</v>
      </c>
      <c r="H20" s="494"/>
      <c r="I20" s="494"/>
      <c r="J20" s="494"/>
      <c r="K20" s="226" t="s">
        <v>720</v>
      </c>
      <c r="L20" s="480"/>
      <c r="AG20" s="1558">
        <v>19</v>
      </c>
    </row>
    <row r="21" spans="1:33" ht="19.899999999999999" customHeight="1">
      <c r="D21" s="1565"/>
      <c r="E21" s="1591" t="s">
        <v>721</v>
      </c>
      <c r="F21" s="1577" t="s">
        <v>722</v>
      </c>
      <c r="G21" s="1570" t="s">
        <v>554</v>
      </c>
      <c r="H21" s="494"/>
      <c r="I21" s="494"/>
      <c r="J21" s="494"/>
      <c r="K21" s="226"/>
      <c r="L21" s="480"/>
      <c r="AG21" s="1558">
        <v>19</v>
      </c>
    </row>
    <row r="22" spans="1:33" ht="19.899999999999999" customHeight="1">
      <c r="D22" s="1565"/>
      <c r="E22" s="1591" t="s">
        <v>723</v>
      </c>
      <c r="F22" s="1577" t="s">
        <v>724</v>
      </c>
      <c r="G22" s="1570" t="s">
        <v>554</v>
      </c>
      <c r="H22" s="494"/>
      <c r="I22" s="494"/>
      <c r="J22" s="494"/>
      <c r="K22" s="226"/>
      <c r="L22" s="480"/>
      <c r="AG22" s="1558">
        <v>19</v>
      </c>
    </row>
    <row r="23" spans="1:33" ht="24" customHeight="1">
      <c r="D23" s="1565"/>
      <c r="E23" s="1591" t="s">
        <v>312</v>
      </c>
      <c r="F23" s="884" t="s">
        <v>725</v>
      </c>
      <c r="G23" s="1570" t="s">
        <v>554</v>
      </c>
      <c r="H23" s="494"/>
      <c r="I23" s="494"/>
      <c r="J23" s="494"/>
      <c r="K23" s="226" t="s">
        <v>726</v>
      </c>
      <c r="L23" s="480"/>
      <c r="AG23" s="1558">
        <v>23</v>
      </c>
    </row>
    <row r="24" spans="1:33" ht="19.899999999999999" customHeight="1">
      <c r="D24" s="1565"/>
      <c r="E24" s="1591" t="s">
        <v>727</v>
      </c>
      <c r="F24" s="1577" t="s">
        <v>728</v>
      </c>
      <c r="G24" s="1570" t="s">
        <v>554</v>
      </c>
      <c r="H24" s="494"/>
      <c r="I24" s="494"/>
      <c r="J24" s="494"/>
      <c r="K24" s="226"/>
      <c r="L24" s="480"/>
      <c r="AG24" s="1558">
        <v>19</v>
      </c>
    </row>
    <row r="25" spans="1:33" ht="35.65" customHeight="1">
      <c r="D25" s="1565"/>
      <c r="E25" s="1591" t="s">
        <v>729</v>
      </c>
      <c r="F25" s="1577" t="s">
        <v>730</v>
      </c>
      <c r="G25" s="1570" t="s">
        <v>554</v>
      </c>
      <c r="H25" s="494"/>
      <c r="I25" s="494"/>
      <c r="J25" s="494"/>
      <c r="K25" s="226"/>
      <c r="L25" s="480"/>
      <c r="AG25" s="1558">
        <v>34</v>
      </c>
    </row>
    <row r="26" spans="1:33" ht="24" customHeight="1">
      <c r="D26" s="1565"/>
      <c r="E26" s="1591" t="s">
        <v>731</v>
      </c>
      <c r="F26" s="884" t="s">
        <v>732</v>
      </c>
      <c r="G26" s="1570" t="s">
        <v>554</v>
      </c>
      <c r="H26" s="494"/>
      <c r="I26" s="494"/>
      <c r="J26" s="494"/>
      <c r="K26" s="226" t="s">
        <v>733</v>
      </c>
      <c r="L26" s="480"/>
      <c r="AG26" s="1558">
        <v>23</v>
      </c>
    </row>
    <row r="27" spans="1:33" ht="19.899999999999999" customHeight="1">
      <c r="D27" s="1565"/>
      <c r="E27" s="1602" t="s">
        <v>734</v>
      </c>
      <c r="F27" s="1577" t="s">
        <v>735</v>
      </c>
      <c r="G27" s="1581" t="s">
        <v>554</v>
      </c>
      <c r="H27" s="1603"/>
      <c r="I27" s="1603"/>
      <c r="J27" s="1603"/>
      <c r="K27" s="226"/>
      <c r="L27" s="480"/>
      <c r="AG27" s="1558">
        <v>19</v>
      </c>
    </row>
    <row r="28" spans="1:33" ht="19.899999999999999" customHeight="1">
      <c r="D28" s="1565"/>
      <c r="E28" s="1602" t="s">
        <v>736</v>
      </c>
      <c r="F28" s="1577" t="s">
        <v>737</v>
      </c>
      <c r="G28" s="1581" t="s">
        <v>554</v>
      </c>
      <c r="H28" s="1603"/>
      <c r="I28" s="1603"/>
      <c r="J28" s="1603"/>
      <c r="K28" s="226"/>
      <c r="L28" s="480"/>
      <c r="AG28" s="1558">
        <v>19</v>
      </c>
    </row>
    <row r="29" spans="1:33" ht="19.899999999999999" customHeight="1">
      <c r="D29" s="1565"/>
      <c r="E29" s="1602" t="s">
        <v>738</v>
      </c>
      <c r="F29" s="884" t="s">
        <v>739</v>
      </c>
      <c r="G29" s="1581" t="s">
        <v>554</v>
      </c>
      <c r="H29" s="1603"/>
      <c r="I29" s="1603"/>
      <c r="J29" s="1603"/>
      <c r="K29" s="226"/>
      <c r="L29" s="480"/>
      <c r="AG29" s="1558">
        <v>19</v>
      </c>
    </row>
    <row r="30" spans="1:33" ht="19.899999999999999" customHeight="1">
      <c r="D30" s="1565"/>
      <c r="E30" s="1602" t="s">
        <v>740</v>
      </c>
      <c r="F30" s="884" t="s">
        <v>741</v>
      </c>
      <c r="G30" s="1581" t="s">
        <v>554</v>
      </c>
      <c r="H30" s="1603"/>
      <c r="I30" s="1603"/>
      <c r="J30" s="1603"/>
      <c r="K30" s="226"/>
      <c r="L30" s="480"/>
      <c r="AG30" s="1558">
        <v>19</v>
      </c>
    </row>
    <row r="31" spans="1:33" ht="19.899999999999999" customHeight="1">
      <c r="D31" s="1565"/>
      <c r="E31" s="1602" t="s">
        <v>742</v>
      </c>
      <c r="F31" s="884" t="s">
        <v>743</v>
      </c>
      <c r="G31" s="1581" t="s">
        <v>554</v>
      </c>
      <c r="H31" s="1603"/>
      <c r="I31" s="1603"/>
      <c r="J31" s="1603"/>
      <c r="K31" s="226"/>
      <c r="L31" s="480"/>
      <c r="AG31" s="1558">
        <v>19</v>
      </c>
    </row>
    <row r="32" spans="1:33" s="1293" customFormat="1" ht="35.65" customHeight="1">
      <c r="A32" s="917"/>
      <c r="C32" s="1563"/>
      <c r="D32" s="1565"/>
      <c r="E32" s="1602" t="s">
        <v>744</v>
      </c>
      <c r="F32" s="884" t="s">
        <v>745</v>
      </c>
      <c r="G32" s="1571" t="s">
        <v>554</v>
      </c>
      <c r="H32" s="516">
        <f>SUM(H33:H34)</f>
        <v>0</v>
      </c>
      <c r="I32" s="516">
        <f>SUM(I33:I34)</f>
        <v>0</v>
      </c>
      <c r="J32" s="516">
        <f>SUM(J33:J34)</f>
        <v>0</v>
      </c>
      <c r="K32" s="226" t="s">
        <v>746</v>
      </c>
      <c r="L32" s="480"/>
      <c r="M32" s="1563"/>
      <c r="N32" s="1563"/>
      <c r="S32" s="1563"/>
      <c r="V32" s="481"/>
      <c r="AB32" s="1559"/>
      <c r="AC32" s="1559"/>
      <c r="AD32" s="1559"/>
      <c r="AE32" s="1559"/>
      <c r="AF32" s="1559"/>
      <c r="AG32" s="1087">
        <v>34</v>
      </c>
    </row>
    <row r="33" spans="1:33" s="1569" customFormat="1" ht="1.1499999999999999" customHeight="1">
      <c r="A33" s="1094"/>
      <c r="D33" s="485"/>
      <c r="E33" s="733" t="str">
        <f>E32&amp;".0"</f>
        <v>2.8.0</v>
      </c>
      <c r="F33" s="921"/>
      <c r="G33" s="488"/>
      <c r="H33" s="922"/>
      <c r="I33" s="922"/>
      <c r="J33" s="922"/>
      <c r="K33" s="923"/>
      <c r="AG33" s="1563">
        <v>1</v>
      </c>
    </row>
    <row r="34" spans="1:33" s="1293" customFormat="1" ht="19.899999999999999" customHeight="1">
      <c r="A34" s="917"/>
      <c r="C34" s="1563"/>
      <c r="D34" s="1560"/>
      <c r="E34" s="507"/>
      <c r="F34" s="1593" t="s">
        <v>579</v>
      </c>
      <c r="G34" s="509"/>
      <c r="H34" s="510"/>
      <c r="I34" s="510"/>
      <c r="J34" s="2044"/>
      <c r="K34" s="238" t="s">
        <v>747</v>
      </c>
      <c r="L34" s="480"/>
      <c r="M34" s="1563"/>
      <c r="N34" s="1563"/>
      <c r="S34" s="1563"/>
      <c r="V34" s="481"/>
      <c r="AB34" s="1559"/>
      <c r="AC34" s="1559"/>
      <c r="AD34" s="1559"/>
      <c r="AE34" s="1559"/>
      <c r="AF34" s="1559"/>
      <c r="AG34" s="1087">
        <v>19</v>
      </c>
    </row>
    <row r="35" spans="1:33" ht="60" customHeight="1">
      <c r="D35" s="1565"/>
      <c r="E35" s="1602" t="s">
        <v>748</v>
      </c>
      <c r="F35" s="884" t="s">
        <v>749</v>
      </c>
      <c r="G35" s="1581" t="s">
        <v>554</v>
      </c>
      <c r="H35" s="1603"/>
      <c r="I35" s="1603"/>
      <c r="J35" s="1603"/>
      <c r="K35" s="226" t="s">
        <v>750</v>
      </c>
      <c r="L35" s="480"/>
      <c r="AG35" s="1558">
        <v>57</v>
      </c>
    </row>
    <row r="36" spans="1:33" s="1293" customFormat="1" ht="24" customHeight="1">
      <c r="A36" s="919" t="s">
        <v>580</v>
      </c>
      <c r="C36" s="1563"/>
      <c r="D36" s="1565"/>
      <c r="E36" s="1591" t="s">
        <v>89</v>
      </c>
      <c r="F36" s="644" t="s">
        <v>751</v>
      </c>
      <c r="G36" s="1570" t="s">
        <v>554</v>
      </c>
      <c r="H36" s="494"/>
      <c r="I36" s="494"/>
      <c r="J36" s="494"/>
      <c r="K36" s="226" t="s">
        <v>752</v>
      </c>
      <c r="L36" s="480"/>
      <c r="M36" s="1563"/>
      <c r="N36" s="1563"/>
      <c r="S36" s="1563"/>
      <c r="V36" s="481"/>
      <c r="AB36" s="1559"/>
      <c r="AC36" s="1559"/>
      <c r="AD36" s="1559"/>
      <c r="AE36" s="1559"/>
      <c r="AF36" s="1559"/>
      <c r="AG36" s="1087">
        <v>23</v>
      </c>
    </row>
    <row r="37" spans="1:33" s="1293" customFormat="1" ht="35.65" customHeight="1">
      <c r="A37" s="919"/>
      <c r="C37" s="1563"/>
      <c r="D37" s="1565"/>
      <c r="E37" s="1591" t="s">
        <v>326</v>
      </c>
      <c r="F37" s="884" t="s">
        <v>753</v>
      </c>
      <c r="G37" s="1581"/>
      <c r="H37" s="494"/>
      <c r="I37" s="494"/>
      <c r="J37" s="494"/>
      <c r="K37" s="226"/>
      <c r="L37" s="480"/>
      <c r="M37" s="1563"/>
      <c r="N37" s="1563"/>
      <c r="S37" s="1563"/>
      <c r="V37" s="481"/>
      <c r="AB37" s="1559"/>
      <c r="AC37" s="1559"/>
      <c r="AD37" s="1559"/>
      <c r="AE37" s="1559"/>
      <c r="AF37" s="1559"/>
      <c r="AG37" s="1087">
        <v>34</v>
      </c>
    </row>
    <row r="38" spans="1:33" s="1293" customFormat="1" ht="19.899999999999999" customHeight="1">
      <c r="A38" s="917"/>
      <c r="C38" s="1563"/>
      <c r="D38" s="512"/>
      <c r="E38" s="1591" t="s">
        <v>90</v>
      </c>
      <c r="F38" s="644" t="s">
        <v>754</v>
      </c>
      <c r="G38" s="1570" t="s">
        <v>554</v>
      </c>
      <c r="H38" s="494"/>
      <c r="I38" s="494"/>
      <c r="J38" s="494"/>
      <c r="K38" s="226" t="s">
        <v>755</v>
      </c>
      <c r="L38" s="480"/>
      <c r="M38" s="1563"/>
      <c r="N38" s="1563"/>
      <c r="S38" s="1563"/>
      <c r="V38" s="481"/>
      <c r="AB38" s="1559"/>
      <c r="AC38" s="1559"/>
      <c r="AD38" s="1559"/>
      <c r="AE38" s="1559"/>
      <c r="AF38" s="1559"/>
      <c r="AG38" s="1087">
        <v>19</v>
      </c>
    </row>
    <row r="39" spans="1:33" s="1293" customFormat="1" ht="24" customHeight="1">
      <c r="A39" s="917"/>
      <c r="C39" s="1563"/>
      <c r="D39" s="512"/>
      <c r="E39" s="1591" t="s">
        <v>756</v>
      </c>
      <c r="F39" s="884" t="s">
        <v>757</v>
      </c>
      <c r="G39" s="1581" t="s">
        <v>554</v>
      </c>
      <c r="H39" s="494"/>
      <c r="I39" s="494"/>
      <c r="J39" s="494"/>
      <c r="K39" s="226" t="s">
        <v>758</v>
      </c>
      <c r="L39" s="480"/>
      <c r="M39" s="1563"/>
      <c r="N39" s="1563"/>
      <c r="S39" s="1563"/>
      <c r="V39" s="481"/>
      <c r="AB39" s="1559"/>
      <c r="AC39" s="1559"/>
      <c r="AD39" s="1559"/>
      <c r="AE39" s="1559"/>
      <c r="AF39" s="1559"/>
      <c r="AG39" s="1087">
        <v>23</v>
      </c>
    </row>
    <row r="40" spans="1:33" s="1293" customFormat="1" ht="24" customHeight="1">
      <c r="A40" s="917"/>
      <c r="C40" s="1563"/>
      <c r="D40" s="1565"/>
      <c r="E40" s="1591" t="s">
        <v>759</v>
      </c>
      <c r="F40" s="1577" t="s">
        <v>760</v>
      </c>
      <c r="G40" s="1570" t="s">
        <v>554</v>
      </c>
      <c r="H40" s="494"/>
      <c r="I40" s="494"/>
      <c r="J40" s="494"/>
      <c r="K40" s="226" t="s">
        <v>761</v>
      </c>
      <c r="L40" s="480"/>
      <c r="M40" s="1563"/>
      <c r="N40" s="1563"/>
      <c r="S40" s="1563"/>
      <c r="V40" s="481"/>
      <c r="AB40" s="1559"/>
      <c r="AC40" s="1559"/>
      <c r="AD40" s="1559"/>
      <c r="AE40" s="1559"/>
      <c r="AF40" s="1559"/>
      <c r="AG40" s="1087">
        <v>23</v>
      </c>
    </row>
    <row r="41" spans="1:33" s="1293" customFormat="1" ht="24" customHeight="1">
      <c r="A41" s="917"/>
      <c r="C41" s="1563"/>
      <c r="D41" s="1565"/>
      <c r="E41" s="1591" t="s">
        <v>762</v>
      </c>
      <c r="F41" s="1577" t="s">
        <v>763</v>
      </c>
      <c r="G41" s="1570" t="s">
        <v>554</v>
      </c>
      <c r="H41" s="494"/>
      <c r="I41" s="494"/>
      <c r="J41" s="494"/>
      <c r="K41" s="226" t="s">
        <v>764</v>
      </c>
      <c r="L41" s="480"/>
      <c r="M41" s="1563"/>
      <c r="N41" s="1563"/>
      <c r="S41" s="1563"/>
      <c r="V41" s="481"/>
      <c r="AB41" s="1559"/>
      <c r="AC41" s="1559"/>
      <c r="AD41" s="1559"/>
      <c r="AE41" s="1559"/>
      <c r="AF41" s="1559"/>
      <c r="AG41" s="1087">
        <v>23</v>
      </c>
    </row>
    <row r="42" spans="1:33" s="1293" customFormat="1" ht="24" customHeight="1">
      <c r="A42" s="917"/>
      <c r="C42" s="1563"/>
      <c r="D42" s="1565"/>
      <c r="E42" s="1591" t="s">
        <v>765</v>
      </c>
      <c r="F42" s="1577" t="s">
        <v>766</v>
      </c>
      <c r="G42" s="1570" t="s">
        <v>554</v>
      </c>
      <c r="H42" s="494"/>
      <c r="I42" s="494"/>
      <c r="J42" s="494"/>
      <c r="K42" s="226" t="s">
        <v>767</v>
      </c>
      <c r="L42" s="480"/>
      <c r="M42" s="1563"/>
      <c r="N42" s="1563"/>
      <c r="S42" s="1563"/>
      <c r="V42" s="481"/>
      <c r="AB42" s="1559"/>
      <c r="AC42" s="1559"/>
      <c r="AD42" s="1559"/>
      <c r="AE42" s="1559"/>
      <c r="AF42" s="1559"/>
      <c r="AG42" s="1087">
        <v>23</v>
      </c>
    </row>
    <row r="43" spans="1:33" s="1293" customFormat="1" ht="35.65" customHeight="1">
      <c r="A43" s="917"/>
      <c r="C43" s="1563" t="s">
        <v>590</v>
      </c>
      <c r="D43" s="1565"/>
      <c r="E43" s="1591" t="s">
        <v>110</v>
      </c>
      <c r="F43" s="644" t="s">
        <v>632</v>
      </c>
      <c r="G43" s="1573" t="s">
        <v>768</v>
      </c>
      <c r="H43" s="338"/>
      <c r="I43" s="338"/>
      <c r="J43" s="749"/>
      <c r="K43" s="226" t="s">
        <v>769</v>
      </c>
      <c r="L43" s="480"/>
      <c r="M43" s="1563"/>
      <c r="N43" s="1563"/>
      <c r="S43" s="1563"/>
      <c r="V43" s="481"/>
      <c r="AB43" s="1559"/>
      <c r="AC43" s="1559"/>
      <c r="AD43" s="1559"/>
      <c r="AE43" s="1559"/>
      <c r="AF43" s="1559"/>
      <c r="AG43" s="1087">
        <v>34</v>
      </c>
    </row>
    <row r="44" spans="1:33" s="1293" customFormat="1" ht="35.65" customHeight="1">
      <c r="A44" s="917"/>
      <c r="C44" s="1563"/>
      <c r="D44" s="1565"/>
      <c r="E44" s="1591" t="s">
        <v>91</v>
      </c>
      <c r="F44" s="644" t="s">
        <v>770</v>
      </c>
      <c r="G44" s="1570" t="s">
        <v>771</v>
      </c>
      <c r="H44" s="482"/>
      <c r="I44" s="482"/>
      <c r="J44" s="482"/>
      <c r="K44" s="226" t="s">
        <v>772</v>
      </c>
      <c r="L44" s="480"/>
      <c r="M44" s="1563"/>
      <c r="N44" s="1563"/>
      <c r="S44" s="1563"/>
      <c r="V44" s="481"/>
      <c r="AB44" s="1559"/>
      <c r="AC44" s="1559"/>
      <c r="AD44" s="1559"/>
      <c r="AE44" s="1559"/>
      <c r="AF44" s="1559"/>
      <c r="AG44" s="1087">
        <v>34</v>
      </c>
    </row>
    <row r="45" spans="1:33" s="1293" customFormat="1" ht="24" customHeight="1">
      <c r="A45" s="917"/>
      <c r="C45" s="1563"/>
      <c r="D45" s="1565"/>
      <c r="E45" s="1591" t="s">
        <v>92</v>
      </c>
      <c r="F45" s="644" t="s">
        <v>773</v>
      </c>
      <c r="G45" s="1581" t="s">
        <v>774</v>
      </c>
      <c r="H45" s="482"/>
      <c r="I45" s="482"/>
      <c r="J45" s="482"/>
      <c r="K45" s="226" t="s">
        <v>775</v>
      </c>
      <c r="L45" s="480"/>
      <c r="M45" s="1563"/>
      <c r="N45" s="1563"/>
      <c r="S45" s="1563"/>
      <c r="V45" s="481"/>
      <c r="AB45" s="1559"/>
      <c r="AC45" s="1559"/>
      <c r="AD45" s="1559"/>
      <c r="AE45" s="1559"/>
      <c r="AF45" s="1559"/>
      <c r="AG45" s="1087">
        <v>23</v>
      </c>
    </row>
    <row r="46" spans="1:33" s="1293" customFormat="1" ht="19.899999999999999" customHeight="1">
      <c r="A46" s="917"/>
      <c r="C46" s="1563"/>
      <c r="D46" s="1565"/>
      <c r="E46" s="1591" t="s">
        <v>111</v>
      </c>
      <c r="F46" s="644" t="s">
        <v>776</v>
      </c>
      <c r="G46" s="1570" t="s">
        <v>592</v>
      </c>
      <c r="H46" s="514"/>
      <c r="I46" s="514"/>
      <c r="J46" s="514"/>
      <c r="K46" s="226"/>
      <c r="L46" s="480"/>
      <c r="M46" s="1563"/>
      <c r="N46" s="1563"/>
      <c r="S46" s="1563"/>
      <c r="V46" s="481"/>
      <c r="AB46" s="1559"/>
      <c r="AC46" s="1559"/>
      <c r="AD46" s="1559"/>
      <c r="AE46" s="1559"/>
      <c r="AF46" s="1559"/>
      <c r="AG46" s="1087">
        <v>19</v>
      </c>
    </row>
    <row r="47" spans="1:33" ht="11.45" customHeight="1">
      <c r="D47" s="1565"/>
      <c r="AG47" s="1558">
        <v>11</v>
      </c>
    </row>
    <row r="48" spans="1:33" s="1568" customFormat="1" ht="11.45" customHeight="1">
      <c r="A48" s="917"/>
      <c r="B48" s="1563"/>
      <c r="C48" s="1563"/>
      <c r="D48" s="288"/>
      <c r="L48" s="1087"/>
      <c r="M48" s="1563"/>
      <c r="N48" s="1563"/>
      <c r="O48" s="1087"/>
      <c r="P48" s="1087"/>
      <c r="Q48" s="1087"/>
      <c r="R48" s="1087"/>
      <c r="S48" s="1563"/>
      <c r="T48" s="1087"/>
      <c r="U48" s="1087"/>
      <c r="V48" s="481"/>
      <c r="W48" s="1087"/>
      <c r="X48" s="1087"/>
      <c r="Y48" s="1087"/>
      <c r="Z48" s="1087"/>
      <c r="AA48" s="1087"/>
      <c r="AB48" s="1559"/>
      <c r="AC48" s="503"/>
      <c r="AD48" s="503"/>
      <c r="AE48" s="503"/>
      <c r="AF48" s="503"/>
      <c r="AG48" s="1568">
        <v>11</v>
      </c>
    </row>
    <row r="49" spans="1:33" s="1568" customFormat="1" ht="11.45" customHeight="1">
      <c r="A49" s="917"/>
      <c r="B49" s="1563"/>
      <c r="C49" s="1563"/>
      <c r="D49" s="288"/>
      <c r="L49" s="1087"/>
      <c r="M49" s="1563"/>
      <c r="N49" s="1563"/>
      <c r="O49" s="1087"/>
      <c r="P49" s="1087"/>
      <c r="Q49" s="1087"/>
      <c r="R49" s="1087"/>
      <c r="S49" s="1563"/>
      <c r="T49" s="1087"/>
      <c r="U49" s="1087"/>
      <c r="V49" s="481"/>
      <c r="W49" s="1087"/>
      <c r="X49" s="1087"/>
      <c r="Y49" s="1087"/>
      <c r="Z49" s="1087"/>
      <c r="AA49" s="1087"/>
      <c r="AB49" s="1559"/>
      <c r="AC49" s="503"/>
      <c r="AD49" s="503"/>
      <c r="AE49" s="503"/>
      <c r="AF49" s="503"/>
      <c r="AG49" s="1568">
        <v>11</v>
      </c>
    </row>
    <row r="50" spans="1:33" s="1568" customFormat="1" ht="11.45" customHeight="1">
      <c r="A50" s="917"/>
      <c r="B50" s="1563"/>
      <c r="C50" s="1563"/>
      <c r="D50" s="288"/>
      <c r="H50" s="503"/>
      <c r="I50" s="503"/>
      <c r="J50" s="559"/>
      <c r="L50" s="1087"/>
      <c r="M50" s="1563"/>
      <c r="N50" s="1563"/>
      <c r="O50" s="1087"/>
      <c r="P50" s="1087"/>
      <c r="Q50" s="1087"/>
      <c r="R50" s="1087"/>
      <c r="S50" s="1563"/>
      <c r="T50" s="1087"/>
      <c r="U50" s="1087"/>
      <c r="V50" s="481"/>
      <c r="W50" s="1087"/>
      <c r="X50" s="1087"/>
      <c r="Y50" s="1087"/>
      <c r="Z50" s="1087"/>
      <c r="AA50" s="1087"/>
      <c r="AB50" s="1559"/>
      <c r="AC50" s="503"/>
      <c r="AD50" s="503"/>
      <c r="AE50" s="503"/>
      <c r="AF50" s="503"/>
      <c r="AG50" s="1568">
        <v>11</v>
      </c>
    </row>
    <row r="51" spans="1:33" s="1568" customFormat="1" ht="11.45" customHeight="1">
      <c r="A51" s="917"/>
      <c r="B51" s="1563"/>
      <c r="C51" s="1563"/>
      <c r="D51" s="288"/>
      <c r="L51" s="1087"/>
      <c r="M51" s="1563"/>
      <c r="N51" s="1563"/>
      <c r="O51" s="1087"/>
      <c r="P51" s="1087"/>
      <c r="Q51" s="1087"/>
      <c r="R51" s="1087"/>
      <c r="S51" s="1563"/>
      <c r="T51" s="1087"/>
      <c r="U51" s="1087"/>
      <c r="V51" s="481"/>
      <c r="W51" s="1087"/>
      <c r="X51" s="1087"/>
      <c r="Y51" s="1087"/>
      <c r="Z51" s="1087"/>
      <c r="AA51" s="1087"/>
      <c r="AB51" s="1559"/>
      <c r="AC51" s="503"/>
      <c r="AD51" s="503"/>
      <c r="AE51" s="503"/>
      <c r="AF51" s="503"/>
      <c r="AG51" s="1568">
        <v>11</v>
      </c>
    </row>
    <row r="52" spans="1:33" s="1568" customFormat="1" ht="11.45" customHeight="1">
      <c r="A52" s="917"/>
      <c r="B52" s="1563"/>
      <c r="C52" s="1563"/>
      <c r="D52" s="288"/>
      <c r="L52" s="1087"/>
      <c r="M52" s="1563"/>
      <c r="N52" s="1563"/>
      <c r="O52" s="1087"/>
      <c r="P52" s="1087"/>
      <c r="Q52" s="1087"/>
      <c r="R52" s="1087"/>
      <c r="S52" s="1563"/>
      <c r="T52" s="1087"/>
      <c r="U52" s="1087"/>
      <c r="V52" s="481"/>
      <c r="W52" s="1087"/>
      <c r="X52" s="1087"/>
      <c r="Y52" s="1087"/>
      <c r="Z52" s="1087"/>
      <c r="AA52" s="1087"/>
      <c r="AB52" s="1559"/>
      <c r="AC52" s="503"/>
      <c r="AD52" s="503"/>
      <c r="AE52" s="503"/>
      <c r="AF52" s="503"/>
      <c r="AG52" s="1568">
        <v>11</v>
      </c>
    </row>
    <row r="53" spans="1:33" s="1568" customFormat="1" ht="11.45" customHeight="1">
      <c r="A53" s="917"/>
      <c r="B53" s="1563"/>
      <c r="C53" s="1563"/>
      <c r="D53" s="288"/>
      <c r="L53" s="1087"/>
      <c r="M53" s="1563"/>
      <c r="N53" s="1563"/>
      <c r="O53" s="1087"/>
      <c r="P53" s="1087"/>
      <c r="Q53" s="1087"/>
      <c r="R53" s="1087"/>
      <c r="S53" s="1563"/>
      <c r="T53" s="1087"/>
      <c r="U53" s="1087"/>
      <c r="V53" s="481"/>
      <c r="W53" s="1087"/>
      <c r="X53" s="1087"/>
      <c r="Y53" s="1087"/>
      <c r="Z53" s="1087"/>
      <c r="AA53" s="1087"/>
      <c r="AB53" s="1559"/>
      <c r="AC53" s="503"/>
      <c r="AD53" s="503"/>
      <c r="AE53" s="503"/>
      <c r="AF53" s="503"/>
      <c r="AG53" s="1568">
        <v>11</v>
      </c>
    </row>
    <row r="54" spans="1:33" s="1568" customFormat="1" ht="11.45" customHeight="1">
      <c r="A54" s="917"/>
      <c r="B54" s="1563"/>
      <c r="C54" s="1563"/>
      <c r="D54" s="288"/>
      <c r="L54" s="1087"/>
      <c r="M54" s="1563"/>
      <c r="N54" s="1563"/>
      <c r="O54" s="1087"/>
      <c r="P54" s="1087"/>
      <c r="Q54" s="1087"/>
      <c r="R54" s="1087"/>
      <c r="S54" s="1563"/>
      <c r="T54" s="1087"/>
      <c r="U54" s="1087"/>
      <c r="V54" s="481"/>
      <c r="W54" s="1087"/>
      <c r="X54" s="1087"/>
      <c r="Y54" s="1087"/>
      <c r="Z54" s="1087"/>
      <c r="AA54" s="1087"/>
      <c r="AB54" s="1559"/>
      <c r="AC54" s="503"/>
      <c r="AD54" s="503"/>
      <c r="AE54" s="503"/>
      <c r="AF54" s="503"/>
      <c r="AG54" s="1568">
        <v>11</v>
      </c>
    </row>
    <row r="55" spans="1:33" s="1568" customFormat="1" ht="11.45" customHeight="1">
      <c r="A55" s="917"/>
      <c r="B55" s="1563"/>
      <c r="C55" s="1563"/>
      <c r="D55" s="288"/>
      <c r="L55" s="1087"/>
      <c r="M55" s="1563"/>
      <c r="N55" s="1563"/>
      <c r="O55" s="1087"/>
      <c r="P55" s="1087"/>
      <c r="Q55" s="1087"/>
      <c r="R55" s="1087"/>
      <c r="S55" s="1563"/>
      <c r="T55" s="1087"/>
      <c r="U55" s="1087"/>
      <c r="V55" s="481"/>
      <c r="W55" s="1087"/>
      <c r="X55" s="1087"/>
      <c r="Y55" s="1087"/>
      <c r="Z55" s="1087"/>
      <c r="AA55" s="1087"/>
      <c r="AB55" s="1559"/>
      <c r="AC55" s="503"/>
      <c r="AD55" s="503"/>
      <c r="AE55" s="503"/>
      <c r="AF55" s="503"/>
      <c r="AG55" s="1568">
        <v>11</v>
      </c>
    </row>
    <row r="56" spans="1:33" s="1568" customFormat="1" ht="11.45" customHeight="1">
      <c r="A56" s="917"/>
      <c r="B56" s="1563"/>
      <c r="C56" s="1563"/>
      <c r="D56" s="288"/>
      <c r="L56" s="1087"/>
      <c r="M56" s="1563"/>
      <c r="N56" s="1563"/>
      <c r="O56" s="1087"/>
      <c r="P56" s="1087"/>
      <c r="Q56" s="1087"/>
      <c r="R56" s="1087"/>
      <c r="S56" s="1563"/>
      <c r="T56" s="1087"/>
      <c r="U56" s="1087"/>
      <c r="V56" s="481"/>
      <c r="W56" s="1087"/>
      <c r="X56" s="1087"/>
      <c r="Y56" s="1087"/>
      <c r="Z56" s="1087"/>
      <c r="AA56" s="1087"/>
      <c r="AB56" s="1559"/>
      <c r="AC56" s="503"/>
      <c r="AD56" s="503"/>
      <c r="AE56" s="503"/>
      <c r="AF56" s="503"/>
      <c r="AG56" s="1568">
        <v>11</v>
      </c>
    </row>
    <row r="57" spans="1:33" s="1568" customFormat="1" ht="11.45" customHeight="1">
      <c r="A57" s="917"/>
      <c r="B57" s="1563"/>
      <c r="C57" s="1563"/>
      <c r="D57" s="288"/>
      <c r="L57" s="1087"/>
      <c r="M57" s="1563"/>
      <c r="N57" s="1563"/>
      <c r="O57" s="1087"/>
      <c r="P57" s="1087"/>
      <c r="Q57" s="1087"/>
      <c r="R57" s="1087"/>
      <c r="S57" s="1563"/>
      <c r="T57" s="1087"/>
      <c r="U57" s="1087"/>
      <c r="V57" s="481"/>
      <c r="W57" s="1087"/>
      <c r="X57" s="1087"/>
      <c r="Y57" s="1087"/>
      <c r="Z57" s="1087"/>
      <c r="AA57" s="1087"/>
      <c r="AB57" s="1559"/>
      <c r="AC57" s="503"/>
      <c r="AD57" s="503"/>
      <c r="AE57" s="503"/>
      <c r="AF57" s="503"/>
      <c r="AG57" s="1568">
        <v>11</v>
      </c>
    </row>
    <row r="58" spans="1:33" s="1568" customFormat="1" ht="11.45" customHeight="1">
      <c r="A58" s="917"/>
      <c r="B58" s="1563"/>
      <c r="C58" s="1563"/>
      <c r="D58" s="288"/>
      <c r="L58" s="1087"/>
      <c r="M58" s="1563"/>
      <c r="N58" s="1563"/>
      <c r="O58" s="1087"/>
      <c r="P58" s="1087"/>
      <c r="Q58" s="1087"/>
      <c r="R58" s="1087"/>
      <c r="S58" s="1563"/>
      <c r="T58" s="1087"/>
      <c r="U58" s="1087"/>
      <c r="V58" s="481"/>
      <c r="W58" s="1087"/>
      <c r="X58" s="1087"/>
      <c r="Y58" s="1087"/>
      <c r="Z58" s="1087"/>
      <c r="AA58" s="1087"/>
      <c r="AB58" s="1559"/>
      <c r="AC58" s="503"/>
      <c r="AD58" s="503"/>
      <c r="AE58" s="503"/>
      <c r="AF58" s="503"/>
      <c r="AG58" s="1568">
        <v>11</v>
      </c>
    </row>
    <row r="59" spans="1:33" s="1568" customFormat="1" ht="11.45" customHeight="1">
      <c r="A59" s="917"/>
      <c r="B59" s="1563"/>
      <c r="C59" s="1563"/>
      <c r="D59" s="288"/>
      <c r="L59" s="1087"/>
      <c r="M59" s="1563"/>
      <c r="N59" s="1563"/>
      <c r="O59" s="1087"/>
      <c r="P59" s="1087"/>
      <c r="Q59" s="1087"/>
      <c r="R59" s="1087"/>
      <c r="S59" s="1563"/>
      <c r="T59" s="1087"/>
      <c r="U59" s="1087"/>
      <c r="V59" s="481"/>
      <c r="W59" s="1087"/>
      <c r="X59" s="1087"/>
      <c r="Y59" s="1087"/>
      <c r="Z59" s="1087"/>
      <c r="AA59" s="1087"/>
      <c r="AB59" s="1559"/>
      <c r="AC59" s="503"/>
      <c r="AD59" s="503"/>
      <c r="AE59" s="503"/>
      <c r="AF59" s="503"/>
      <c r="AG59" s="1568">
        <v>11</v>
      </c>
    </row>
    <row r="60" spans="1:33" s="1568" customFormat="1" ht="11.45" customHeight="1">
      <c r="A60" s="917"/>
      <c r="B60" s="1563"/>
      <c r="C60" s="1563"/>
      <c r="D60" s="288"/>
      <c r="L60" s="1087"/>
      <c r="M60" s="1563"/>
      <c r="N60" s="1563"/>
      <c r="O60" s="1087"/>
      <c r="P60" s="1087"/>
      <c r="Q60" s="1087"/>
      <c r="R60" s="1087"/>
      <c r="S60" s="1563"/>
      <c r="T60" s="1087"/>
      <c r="U60" s="1087"/>
      <c r="V60" s="481"/>
      <c r="W60" s="1087"/>
      <c r="X60" s="1087"/>
      <c r="Y60" s="1087"/>
      <c r="Z60" s="1087"/>
      <c r="AA60" s="1087"/>
      <c r="AB60" s="1559"/>
      <c r="AC60" s="503"/>
      <c r="AD60" s="503"/>
      <c r="AE60" s="503"/>
      <c r="AF60" s="503"/>
      <c r="AG60" s="1568">
        <v>11</v>
      </c>
    </row>
    <row r="61" spans="1:33" s="1568" customFormat="1" ht="11.45" customHeight="1">
      <c r="A61" s="917"/>
      <c r="B61" s="1563"/>
      <c r="C61" s="1563"/>
      <c r="D61" s="288"/>
      <c r="L61" s="1087"/>
      <c r="M61" s="1563"/>
      <c r="N61" s="1563"/>
      <c r="O61" s="1087"/>
      <c r="P61" s="1087"/>
      <c r="Q61" s="1087"/>
      <c r="R61" s="1087"/>
      <c r="S61" s="1563"/>
      <c r="T61" s="1087"/>
      <c r="U61" s="1087"/>
      <c r="V61" s="481"/>
      <c r="W61" s="1087"/>
      <c r="X61" s="1087"/>
      <c r="Y61" s="1087"/>
      <c r="Z61" s="1087"/>
      <c r="AA61" s="1087"/>
      <c r="AB61" s="1559"/>
      <c r="AC61" s="503"/>
      <c r="AD61" s="503"/>
      <c r="AE61" s="503"/>
      <c r="AF61" s="503"/>
      <c r="AG61" s="1568">
        <v>11</v>
      </c>
    </row>
    <row r="62" spans="1:33" s="1568" customFormat="1" ht="11.45" customHeight="1">
      <c r="A62" s="917"/>
      <c r="B62" s="1563"/>
      <c r="C62" s="1563"/>
      <c r="D62" s="288"/>
      <c r="L62" s="1087"/>
      <c r="M62" s="1563"/>
      <c r="N62" s="1563"/>
      <c r="O62" s="1087"/>
      <c r="P62" s="1087"/>
      <c r="Q62" s="1087"/>
      <c r="R62" s="1087"/>
      <c r="S62" s="1563"/>
      <c r="T62" s="1087"/>
      <c r="U62" s="1087"/>
      <c r="V62" s="481"/>
      <c r="W62" s="1087"/>
      <c r="X62" s="1087"/>
      <c r="Y62" s="1087"/>
      <c r="Z62" s="1087"/>
      <c r="AA62" s="1087"/>
      <c r="AB62" s="1559"/>
      <c r="AC62" s="503"/>
      <c r="AD62" s="503"/>
      <c r="AE62" s="503"/>
      <c r="AF62" s="503"/>
      <c r="AG62" s="1568">
        <v>11</v>
      </c>
    </row>
    <row r="63" spans="1:33" s="1568" customFormat="1" ht="11.45" customHeight="1">
      <c r="A63" s="917"/>
      <c r="B63" s="1563"/>
      <c r="C63" s="1563"/>
      <c r="D63" s="288"/>
      <c r="L63" s="1087"/>
      <c r="M63" s="1563"/>
      <c r="N63" s="1563"/>
      <c r="O63" s="1087"/>
      <c r="P63" s="1087"/>
      <c r="Q63" s="1087"/>
      <c r="R63" s="1087"/>
      <c r="S63" s="1563"/>
      <c r="T63" s="1087"/>
      <c r="U63" s="1087"/>
      <c r="V63" s="481"/>
      <c r="W63" s="1087"/>
      <c r="X63" s="1087"/>
      <c r="Y63" s="1087"/>
      <c r="Z63" s="1087"/>
      <c r="AA63" s="1087"/>
      <c r="AB63" s="1559"/>
      <c r="AC63" s="503"/>
      <c r="AD63" s="503"/>
      <c r="AE63" s="503"/>
      <c r="AF63" s="503"/>
      <c r="AG63" s="1568">
        <v>11</v>
      </c>
    </row>
    <row r="64" spans="1:33" s="1568" customFormat="1" ht="11.45" customHeight="1">
      <c r="A64" s="917"/>
      <c r="B64" s="1563"/>
      <c r="C64" s="1563"/>
      <c r="D64" s="288"/>
      <c r="L64" s="1087"/>
      <c r="M64" s="1563"/>
      <c r="N64" s="1563"/>
      <c r="O64" s="1087"/>
      <c r="P64" s="1087"/>
      <c r="Q64" s="1087"/>
      <c r="R64" s="1087"/>
      <c r="S64" s="1563"/>
      <c r="T64" s="1087"/>
      <c r="U64" s="1087"/>
      <c r="V64" s="481"/>
      <c r="W64" s="1087"/>
      <c r="X64" s="1087"/>
      <c r="Y64" s="1087"/>
      <c r="Z64" s="1087"/>
      <c r="AA64" s="1087"/>
      <c r="AB64" s="1559"/>
      <c r="AC64" s="503"/>
      <c r="AD64" s="503"/>
      <c r="AE64" s="503"/>
      <c r="AF64" s="503"/>
      <c r="AG64" s="1568">
        <v>11</v>
      </c>
    </row>
    <row r="65" spans="1:33" s="1568" customFormat="1" ht="11.45" customHeight="1">
      <c r="A65" s="917"/>
      <c r="B65" s="1563"/>
      <c r="C65" s="1563"/>
      <c r="D65" s="288"/>
      <c r="L65" s="1087"/>
      <c r="M65" s="1563"/>
      <c r="N65" s="1563"/>
      <c r="O65" s="1087"/>
      <c r="P65" s="1087"/>
      <c r="Q65" s="1087"/>
      <c r="R65" s="1087"/>
      <c r="S65" s="1563"/>
      <c r="T65" s="1087"/>
      <c r="U65" s="1087"/>
      <c r="V65" s="481"/>
      <c r="W65" s="1087"/>
      <c r="X65" s="1087"/>
      <c r="Y65" s="1087"/>
      <c r="Z65" s="1087"/>
      <c r="AA65" s="1087"/>
      <c r="AB65" s="1559"/>
      <c r="AC65" s="503"/>
      <c r="AD65" s="503"/>
      <c r="AE65" s="503"/>
      <c r="AF65" s="503"/>
      <c r="AG65" s="1568">
        <v>11</v>
      </c>
    </row>
    <row r="66" spans="1:33" s="1568" customFormat="1" ht="11.45" customHeight="1">
      <c r="A66" s="917"/>
      <c r="B66" s="1563"/>
      <c r="C66" s="1563"/>
      <c r="D66" s="288"/>
      <c r="L66" s="1087"/>
      <c r="M66" s="1563"/>
      <c r="N66" s="1563"/>
      <c r="O66" s="1087"/>
      <c r="P66" s="1087"/>
      <c r="Q66" s="1087"/>
      <c r="R66" s="1087"/>
      <c r="S66" s="1563"/>
      <c r="T66" s="1087"/>
      <c r="U66" s="1087"/>
      <c r="V66" s="481"/>
      <c r="W66" s="1087"/>
      <c r="X66" s="1087"/>
      <c r="Y66" s="1087"/>
      <c r="Z66" s="1087"/>
      <c r="AA66" s="1087"/>
      <c r="AB66" s="1559"/>
      <c r="AC66" s="503"/>
      <c r="AD66" s="503"/>
      <c r="AE66" s="503"/>
      <c r="AF66" s="503"/>
      <c r="AG66" s="1568">
        <v>11</v>
      </c>
    </row>
    <row r="67" spans="1:33" s="1568" customFormat="1" ht="11.45" customHeight="1">
      <c r="A67" s="917"/>
      <c r="B67" s="1563"/>
      <c r="C67" s="1563"/>
      <c r="D67" s="288"/>
      <c r="L67" s="1087"/>
      <c r="M67" s="1563"/>
      <c r="N67" s="1563"/>
      <c r="O67" s="1087"/>
      <c r="P67" s="1087"/>
      <c r="Q67" s="1087"/>
      <c r="R67" s="1087"/>
      <c r="S67" s="1563"/>
      <c r="T67" s="1087"/>
      <c r="U67" s="1087"/>
      <c r="V67" s="481"/>
      <c r="W67" s="1087"/>
      <c r="X67" s="1087"/>
      <c r="Y67" s="1087"/>
      <c r="Z67" s="1087"/>
      <c r="AA67" s="1087"/>
      <c r="AB67" s="1559"/>
      <c r="AC67" s="503"/>
      <c r="AD67" s="503"/>
      <c r="AE67" s="503"/>
      <c r="AF67" s="503"/>
      <c r="AG67" s="1568">
        <v>11</v>
      </c>
    </row>
    <row r="68" spans="1:33" s="1568" customFormat="1" ht="11.45" customHeight="1">
      <c r="A68" s="917"/>
      <c r="B68" s="1563"/>
      <c r="C68" s="1563"/>
      <c r="D68" s="288"/>
      <c r="L68" s="1087"/>
      <c r="M68" s="1563"/>
      <c r="N68" s="1563"/>
      <c r="O68" s="1087"/>
      <c r="P68" s="1087"/>
      <c r="Q68" s="1087"/>
      <c r="R68" s="1087"/>
      <c r="S68" s="1563"/>
      <c r="T68" s="1087"/>
      <c r="U68" s="1087"/>
      <c r="V68" s="481"/>
      <c r="W68" s="1087"/>
      <c r="X68" s="1087"/>
      <c r="Y68" s="1087"/>
      <c r="Z68" s="1087"/>
      <c r="AA68" s="1087"/>
      <c r="AB68" s="1559"/>
      <c r="AC68" s="503"/>
      <c r="AD68" s="503"/>
      <c r="AE68" s="503"/>
      <c r="AF68" s="503"/>
      <c r="AG68" s="1568">
        <v>11</v>
      </c>
    </row>
    <row r="69" spans="1:33" s="1568" customFormat="1" ht="11.45" customHeight="1">
      <c r="A69" s="917"/>
      <c r="B69" s="1563"/>
      <c r="C69" s="1563"/>
      <c r="D69" s="288"/>
      <c r="L69" s="1087"/>
      <c r="M69" s="1563"/>
      <c r="N69" s="1563"/>
      <c r="O69" s="1087"/>
      <c r="P69" s="1087"/>
      <c r="Q69" s="1087"/>
      <c r="R69" s="1087"/>
      <c r="S69" s="1563"/>
      <c r="T69" s="1087"/>
      <c r="U69" s="1087"/>
      <c r="V69" s="481"/>
      <c r="W69" s="1087"/>
      <c r="X69" s="1087"/>
      <c r="Y69" s="1087"/>
      <c r="Z69" s="1087"/>
      <c r="AA69" s="1087"/>
      <c r="AB69" s="1559"/>
      <c r="AC69" s="503"/>
      <c r="AD69" s="503"/>
      <c r="AE69" s="503"/>
      <c r="AF69" s="503"/>
      <c r="AG69" s="1568">
        <v>11</v>
      </c>
    </row>
    <row r="70" spans="1:33" s="1568" customFormat="1" ht="11.45" customHeight="1">
      <c r="A70" s="917"/>
      <c r="B70" s="1563"/>
      <c r="C70" s="1563"/>
      <c r="D70" s="288"/>
      <c r="L70" s="1087"/>
      <c r="M70" s="1563"/>
      <c r="N70" s="1563"/>
      <c r="O70" s="1087"/>
      <c r="P70" s="1087"/>
      <c r="Q70" s="1087"/>
      <c r="R70" s="1087"/>
      <c r="S70" s="1563"/>
      <c r="T70" s="1087"/>
      <c r="U70" s="1087"/>
      <c r="V70" s="481"/>
      <c r="W70" s="1087"/>
      <c r="X70" s="1087"/>
      <c r="Y70" s="1087"/>
      <c r="Z70" s="1087"/>
      <c r="AA70" s="1087"/>
      <c r="AB70" s="1559"/>
      <c r="AC70" s="503"/>
      <c r="AD70" s="503"/>
      <c r="AE70" s="503"/>
      <c r="AF70" s="503"/>
      <c r="AG70" s="1568">
        <v>11</v>
      </c>
    </row>
    <row r="71" spans="1:33" s="1568" customFormat="1" ht="11.45" customHeight="1">
      <c r="A71" s="917"/>
      <c r="B71" s="1563"/>
      <c r="C71" s="1563"/>
      <c r="D71" s="288"/>
      <c r="L71" s="1087"/>
      <c r="M71" s="1563"/>
      <c r="N71" s="1563"/>
      <c r="O71" s="1087"/>
      <c r="P71" s="1087"/>
      <c r="Q71" s="1087"/>
      <c r="R71" s="1087"/>
      <c r="S71" s="1563"/>
      <c r="T71" s="1087"/>
      <c r="U71" s="1087"/>
      <c r="V71" s="481"/>
      <c r="W71" s="1087"/>
      <c r="X71" s="1087"/>
      <c r="Y71" s="1087"/>
      <c r="Z71" s="1087"/>
      <c r="AA71" s="1087"/>
      <c r="AB71" s="1559"/>
      <c r="AC71" s="503"/>
      <c r="AD71" s="503"/>
      <c r="AE71" s="503"/>
      <c r="AF71" s="503"/>
      <c r="AG71" s="1568">
        <v>11</v>
      </c>
    </row>
    <row r="72" spans="1:33" s="1568" customFormat="1" ht="11.45" customHeight="1">
      <c r="A72" s="917"/>
      <c r="B72" s="1563"/>
      <c r="C72" s="1563"/>
      <c r="D72" s="288"/>
      <c r="L72" s="1087"/>
      <c r="M72" s="1563"/>
      <c r="N72" s="1563"/>
      <c r="O72" s="1087"/>
      <c r="P72" s="1087"/>
      <c r="Q72" s="1087"/>
      <c r="R72" s="1087"/>
      <c r="S72" s="1563"/>
      <c r="T72" s="1087"/>
      <c r="U72" s="1087"/>
      <c r="V72" s="481"/>
      <c r="W72" s="1087"/>
      <c r="X72" s="1087"/>
      <c r="Y72" s="1087"/>
      <c r="Z72" s="1087"/>
      <c r="AA72" s="1087"/>
      <c r="AB72" s="1559"/>
      <c r="AC72" s="503"/>
      <c r="AD72" s="503"/>
      <c r="AE72" s="503"/>
      <c r="AF72" s="503"/>
      <c r="AG72" s="1568">
        <v>11</v>
      </c>
    </row>
    <row r="73" spans="1:33" s="1568" customFormat="1" ht="11.45" customHeight="1">
      <c r="A73" s="917"/>
      <c r="B73" s="1563"/>
      <c r="C73" s="1563"/>
      <c r="D73" s="288"/>
      <c r="L73" s="1087"/>
      <c r="M73" s="1563"/>
      <c r="N73" s="1563"/>
      <c r="O73" s="1087"/>
      <c r="P73" s="1087"/>
      <c r="Q73" s="1087"/>
      <c r="R73" s="1087"/>
      <c r="S73" s="1563"/>
      <c r="T73" s="1087"/>
      <c r="U73" s="1087"/>
      <c r="V73" s="481"/>
      <c r="W73" s="1087"/>
      <c r="X73" s="1087"/>
      <c r="Y73" s="1087"/>
      <c r="Z73" s="1087"/>
      <c r="AA73" s="1087"/>
      <c r="AB73" s="1559"/>
      <c r="AC73" s="503"/>
      <c r="AD73" s="503"/>
      <c r="AE73" s="503"/>
      <c r="AF73" s="503"/>
      <c r="AG73" s="1568">
        <v>11</v>
      </c>
    </row>
    <row r="74" spans="1:33" s="1568" customFormat="1" ht="11.45" customHeight="1">
      <c r="A74" s="917"/>
      <c r="B74" s="1563"/>
      <c r="C74" s="1563"/>
      <c r="D74" s="288"/>
      <c r="L74" s="1087"/>
      <c r="M74" s="1563"/>
      <c r="N74" s="1563"/>
      <c r="O74" s="1087"/>
      <c r="P74" s="1087"/>
      <c r="Q74" s="1087"/>
      <c r="R74" s="1087"/>
      <c r="S74" s="1563"/>
      <c r="T74" s="1087"/>
      <c r="U74" s="1087"/>
      <c r="V74" s="481"/>
      <c r="W74" s="1087"/>
      <c r="X74" s="1087"/>
      <c r="Y74" s="1087"/>
      <c r="Z74" s="1087"/>
      <c r="AA74" s="1087"/>
      <c r="AB74" s="1559"/>
      <c r="AC74" s="503"/>
      <c r="AD74" s="503"/>
      <c r="AE74" s="503"/>
      <c r="AF74" s="503"/>
      <c r="AG74" s="1568">
        <v>11</v>
      </c>
    </row>
    <row r="75" spans="1:33" s="1568" customFormat="1" ht="11.45" customHeight="1">
      <c r="A75" s="917"/>
      <c r="B75" s="1563"/>
      <c r="C75" s="1563"/>
      <c r="D75" s="288"/>
      <c r="L75" s="1087"/>
      <c r="M75" s="1563"/>
      <c r="N75" s="1563"/>
      <c r="O75" s="1087"/>
      <c r="P75" s="1087"/>
      <c r="Q75" s="1087"/>
      <c r="R75" s="1087"/>
      <c r="S75" s="1563"/>
      <c r="T75" s="1087"/>
      <c r="U75" s="1087"/>
      <c r="V75" s="481"/>
      <c r="W75" s="1087"/>
      <c r="X75" s="1087"/>
      <c r="Y75" s="1087"/>
      <c r="Z75" s="1087"/>
      <c r="AA75" s="1087"/>
      <c r="AB75" s="1559"/>
      <c r="AC75" s="503"/>
      <c r="AD75" s="503"/>
      <c r="AE75" s="503"/>
      <c r="AF75" s="503"/>
      <c r="AG75" s="1568">
        <v>11</v>
      </c>
    </row>
    <row r="76" spans="1:33" s="1568" customFormat="1" ht="11.45" customHeight="1">
      <c r="A76" s="917"/>
      <c r="B76" s="1563"/>
      <c r="C76" s="1563"/>
      <c r="D76" s="288"/>
      <c r="L76" s="1087"/>
      <c r="M76" s="1563"/>
      <c r="N76" s="1563"/>
      <c r="O76" s="1087"/>
      <c r="P76" s="1087"/>
      <c r="Q76" s="1087"/>
      <c r="R76" s="1087"/>
      <c r="S76" s="1563"/>
      <c r="T76" s="1087"/>
      <c r="U76" s="1087"/>
      <c r="V76" s="481"/>
      <c r="W76" s="1087"/>
      <c r="X76" s="1087"/>
      <c r="Y76" s="1087"/>
      <c r="Z76" s="1087"/>
      <c r="AA76" s="1087"/>
      <c r="AB76" s="1559"/>
      <c r="AC76" s="503"/>
      <c r="AD76" s="503"/>
      <c r="AE76" s="503"/>
      <c r="AF76" s="503"/>
      <c r="AG76" s="1568">
        <v>11</v>
      </c>
    </row>
    <row r="77" spans="1:33" s="1568" customFormat="1" ht="11.45" customHeight="1">
      <c r="A77" s="917"/>
      <c r="B77" s="1563"/>
      <c r="C77" s="1563"/>
      <c r="D77" s="288"/>
      <c r="L77" s="1087"/>
      <c r="M77" s="1563"/>
      <c r="N77" s="1563"/>
      <c r="O77" s="1087"/>
      <c r="P77" s="1087"/>
      <c r="Q77" s="1087"/>
      <c r="R77" s="1087"/>
      <c r="S77" s="1563"/>
      <c r="T77" s="1087"/>
      <c r="U77" s="1087"/>
      <c r="V77" s="481"/>
      <c r="W77" s="1087"/>
      <c r="X77" s="1087"/>
      <c r="Y77" s="1087"/>
      <c r="Z77" s="1087"/>
      <c r="AA77" s="1087"/>
      <c r="AB77" s="1559"/>
      <c r="AC77" s="503"/>
      <c r="AD77" s="503"/>
      <c r="AE77" s="503"/>
      <c r="AF77" s="503"/>
      <c r="AG77" s="1568">
        <v>11</v>
      </c>
    </row>
    <row r="78" spans="1:33" s="1568" customFormat="1" ht="11.45" customHeight="1">
      <c r="A78" s="917"/>
      <c r="B78" s="1563"/>
      <c r="C78" s="1563"/>
      <c r="D78" s="288"/>
      <c r="L78" s="1087"/>
      <c r="M78" s="1563"/>
      <c r="N78" s="1563"/>
      <c r="O78" s="1087"/>
      <c r="P78" s="1087"/>
      <c r="Q78" s="1087"/>
      <c r="R78" s="1087"/>
      <c r="S78" s="1563"/>
      <c r="T78" s="1087"/>
      <c r="U78" s="1087"/>
      <c r="V78" s="481"/>
      <c r="W78" s="1087"/>
      <c r="X78" s="1087"/>
      <c r="Y78" s="1087"/>
      <c r="Z78" s="1087"/>
      <c r="AA78" s="1087"/>
      <c r="AB78" s="1559"/>
      <c r="AC78" s="503"/>
      <c r="AD78" s="503"/>
      <c r="AE78" s="503"/>
      <c r="AF78" s="503"/>
      <c r="AG78" s="1568">
        <v>11</v>
      </c>
    </row>
    <row r="79" spans="1:33" s="1568" customFormat="1" ht="11.45" customHeight="1">
      <c r="A79" s="917"/>
      <c r="B79" s="1563"/>
      <c r="C79" s="1563"/>
      <c r="D79" s="288"/>
      <c r="L79" s="1087"/>
      <c r="M79" s="1563"/>
      <c r="N79" s="1563"/>
      <c r="O79" s="1087"/>
      <c r="P79" s="1087"/>
      <c r="Q79" s="1087"/>
      <c r="R79" s="1087"/>
      <c r="S79" s="1563"/>
      <c r="T79" s="1087"/>
      <c r="U79" s="1087"/>
      <c r="V79" s="481"/>
      <c r="W79" s="1087"/>
      <c r="X79" s="1087"/>
      <c r="Y79" s="1087"/>
      <c r="Z79" s="1087"/>
      <c r="AA79" s="1087"/>
      <c r="AB79" s="1559"/>
      <c r="AC79" s="503"/>
      <c r="AD79" s="503"/>
      <c r="AE79" s="503"/>
      <c r="AF79" s="503"/>
      <c r="AG79" s="1568">
        <v>11</v>
      </c>
    </row>
    <row r="80" spans="1:33" s="1568" customFormat="1" ht="11.45" customHeight="1">
      <c r="A80" s="917"/>
      <c r="B80" s="1563"/>
      <c r="C80" s="1563"/>
      <c r="D80" s="288"/>
      <c r="L80" s="1087"/>
      <c r="M80" s="1563"/>
      <c r="N80" s="1563"/>
      <c r="O80" s="1087"/>
      <c r="P80" s="1087"/>
      <c r="Q80" s="1087"/>
      <c r="R80" s="1087"/>
      <c r="S80" s="1563"/>
      <c r="T80" s="1087"/>
      <c r="U80" s="1087"/>
      <c r="V80" s="481"/>
      <c r="W80" s="1087"/>
      <c r="X80" s="1087"/>
      <c r="Y80" s="1087"/>
      <c r="Z80" s="1087"/>
      <c r="AA80" s="1087"/>
      <c r="AB80" s="1559"/>
      <c r="AC80" s="503"/>
      <c r="AD80" s="503"/>
      <c r="AE80" s="503"/>
      <c r="AF80" s="503"/>
      <c r="AG80" s="1568">
        <v>11</v>
      </c>
    </row>
    <row r="81" spans="1:33" s="1568" customFormat="1" ht="11.45" customHeight="1">
      <c r="A81" s="917"/>
      <c r="B81" s="1563"/>
      <c r="C81" s="1563"/>
      <c r="D81" s="288"/>
      <c r="L81" s="1087"/>
      <c r="M81" s="1563"/>
      <c r="N81" s="1563"/>
      <c r="O81" s="1087"/>
      <c r="P81" s="1087"/>
      <c r="Q81" s="1087"/>
      <c r="R81" s="1087"/>
      <c r="S81" s="1563"/>
      <c r="T81" s="1087"/>
      <c r="U81" s="1087"/>
      <c r="V81" s="481"/>
      <c r="W81" s="1087"/>
      <c r="X81" s="1087"/>
      <c r="Y81" s="1087"/>
      <c r="Z81" s="1087"/>
      <c r="AA81" s="1087"/>
      <c r="AB81" s="1559"/>
      <c r="AC81" s="503"/>
      <c r="AD81" s="503"/>
      <c r="AE81" s="503"/>
      <c r="AF81" s="503"/>
      <c r="AG81" s="1568">
        <v>11</v>
      </c>
    </row>
    <row r="82" spans="1:33" s="1568" customFormat="1" ht="11.45" customHeight="1">
      <c r="A82" s="917"/>
      <c r="B82" s="1563"/>
      <c r="C82" s="1563"/>
      <c r="D82" s="288"/>
      <c r="L82" s="1087"/>
      <c r="M82" s="1563"/>
      <c r="N82" s="1563"/>
      <c r="O82" s="1087"/>
      <c r="P82" s="1087"/>
      <c r="Q82" s="1087"/>
      <c r="R82" s="1087"/>
      <c r="S82" s="1563"/>
      <c r="T82" s="1087"/>
      <c r="U82" s="1087"/>
      <c r="V82" s="481"/>
      <c r="W82" s="1087"/>
      <c r="X82" s="1087"/>
      <c r="Y82" s="1087"/>
      <c r="Z82" s="1087"/>
      <c r="AA82" s="1087"/>
      <c r="AB82" s="1559"/>
      <c r="AC82" s="503"/>
      <c r="AD82" s="503"/>
      <c r="AE82" s="503"/>
      <c r="AF82" s="503"/>
      <c r="AG82" s="1568">
        <v>11</v>
      </c>
    </row>
    <row r="83" spans="1:33" s="1568" customFormat="1" ht="11.45" customHeight="1">
      <c r="A83" s="917"/>
      <c r="B83" s="1563"/>
      <c r="C83" s="1563"/>
      <c r="D83" s="288"/>
      <c r="L83" s="1087"/>
      <c r="M83" s="1563"/>
      <c r="N83" s="1563"/>
      <c r="O83" s="1087"/>
      <c r="P83" s="1087"/>
      <c r="Q83" s="1087"/>
      <c r="R83" s="1087"/>
      <c r="S83" s="1563"/>
      <c r="T83" s="1087"/>
      <c r="U83" s="1087"/>
      <c r="V83" s="481"/>
      <c r="W83" s="1087"/>
      <c r="X83" s="1087"/>
      <c r="Y83" s="1087"/>
      <c r="Z83" s="1087"/>
      <c r="AA83" s="1087"/>
      <c r="AB83" s="1559"/>
      <c r="AC83" s="503"/>
      <c r="AD83" s="503"/>
      <c r="AE83" s="503"/>
      <c r="AF83" s="503"/>
      <c r="AG83" s="1568">
        <v>11</v>
      </c>
    </row>
    <row r="84" spans="1:33" s="1568" customFormat="1" ht="11.45" customHeight="1">
      <c r="A84" s="917"/>
      <c r="B84" s="1563"/>
      <c r="C84" s="1563"/>
      <c r="D84" s="288"/>
      <c r="L84" s="1087"/>
      <c r="M84" s="1563"/>
      <c r="N84" s="1563"/>
      <c r="O84" s="1087"/>
      <c r="P84" s="1087"/>
      <c r="Q84" s="1087"/>
      <c r="R84" s="1087"/>
      <c r="S84" s="1563"/>
      <c r="T84" s="1087"/>
      <c r="U84" s="1087"/>
      <c r="V84" s="481"/>
      <c r="W84" s="1087"/>
      <c r="X84" s="1087"/>
      <c r="Y84" s="1087"/>
      <c r="Z84" s="1087"/>
      <c r="AA84" s="1087"/>
      <c r="AB84" s="1559"/>
      <c r="AC84" s="503"/>
      <c r="AD84" s="503"/>
      <c r="AE84" s="503"/>
      <c r="AF84" s="503"/>
      <c r="AG84" s="1568">
        <v>11</v>
      </c>
    </row>
    <row r="85" spans="1:33" s="1568" customFormat="1" ht="11.45" customHeight="1">
      <c r="A85" s="917"/>
      <c r="B85" s="1563"/>
      <c r="C85" s="1563"/>
      <c r="D85" s="288"/>
      <c r="L85" s="1087"/>
      <c r="M85" s="1563"/>
      <c r="N85" s="1563"/>
      <c r="O85" s="1087"/>
      <c r="P85" s="1087"/>
      <c r="Q85" s="1087"/>
      <c r="R85" s="1087"/>
      <c r="S85" s="1563"/>
      <c r="T85" s="1087"/>
      <c r="U85" s="1087"/>
      <c r="V85" s="481"/>
      <c r="W85" s="1087"/>
      <c r="X85" s="1087"/>
      <c r="Y85" s="1087"/>
      <c r="Z85" s="1087"/>
      <c r="AA85" s="1087"/>
      <c r="AB85" s="1559"/>
      <c r="AC85" s="503"/>
      <c r="AD85" s="503"/>
      <c r="AE85" s="503"/>
      <c r="AF85" s="503"/>
      <c r="AG85" s="1568">
        <v>11</v>
      </c>
    </row>
    <row r="86" spans="1:33" s="1568" customFormat="1" ht="11.45" customHeight="1">
      <c r="A86" s="917"/>
      <c r="B86" s="1563"/>
      <c r="C86" s="1563"/>
      <c r="D86" s="288"/>
      <c r="L86" s="1087"/>
      <c r="M86" s="1563"/>
      <c r="N86" s="1563"/>
      <c r="O86" s="1087"/>
      <c r="P86" s="1087"/>
      <c r="Q86" s="1087"/>
      <c r="R86" s="1087"/>
      <c r="S86" s="1563"/>
      <c r="T86" s="1087"/>
      <c r="U86" s="1087"/>
      <c r="V86" s="481"/>
      <c r="W86" s="1087"/>
      <c r="X86" s="1087"/>
      <c r="Y86" s="1087"/>
      <c r="Z86" s="1087"/>
      <c r="AA86" s="1087"/>
      <c r="AB86" s="1559"/>
      <c r="AC86" s="503"/>
      <c r="AD86" s="503"/>
      <c r="AE86" s="503"/>
      <c r="AF86" s="503"/>
      <c r="AG86" s="1568">
        <v>11</v>
      </c>
    </row>
    <row r="87" spans="1:33" s="1568" customFormat="1" ht="11.45" customHeight="1">
      <c r="A87" s="917"/>
      <c r="B87" s="1563"/>
      <c r="C87" s="1563"/>
      <c r="D87" s="288"/>
      <c r="L87" s="1087"/>
      <c r="M87" s="1563"/>
      <c r="N87" s="1563"/>
      <c r="O87" s="1087"/>
      <c r="P87" s="1087"/>
      <c r="Q87" s="1087"/>
      <c r="R87" s="1087"/>
      <c r="S87" s="1563"/>
      <c r="T87" s="1087"/>
      <c r="U87" s="1087"/>
      <c r="V87" s="481"/>
      <c r="W87" s="1087"/>
      <c r="X87" s="1087"/>
      <c r="Y87" s="1087"/>
      <c r="Z87" s="1087"/>
      <c r="AA87" s="1087"/>
      <c r="AB87" s="1559"/>
      <c r="AC87" s="503"/>
      <c r="AD87" s="503"/>
      <c r="AE87" s="503"/>
      <c r="AF87" s="503"/>
      <c r="AG87" s="1568">
        <v>11</v>
      </c>
    </row>
    <row r="88" spans="1:33" s="1568" customFormat="1" ht="11.45" customHeight="1">
      <c r="A88" s="917"/>
      <c r="B88" s="1563"/>
      <c r="C88" s="1563"/>
      <c r="D88" s="288"/>
      <c r="L88" s="1087"/>
      <c r="M88" s="1563"/>
      <c r="N88" s="1563"/>
      <c r="O88" s="1087"/>
      <c r="P88" s="1087"/>
      <c r="Q88" s="1087"/>
      <c r="R88" s="1087"/>
      <c r="S88" s="1563"/>
      <c r="T88" s="1087"/>
      <c r="U88" s="1087"/>
      <c r="V88" s="481"/>
      <c r="W88" s="1087"/>
      <c r="X88" s="1087"/>
      <c r="Y88" s="1087"/>
      <c r="Z88" s="1087"/>
      <c r="AA88" s="1087"/>
      <c r="AB88" s="1559"/>
      <c r="AC88" s="503"/>
      <c r="AD88" s="503"/>
      <c r="AE88" s="503"/>
      <c r="AF88" s="503"/>
      <c r="AG88" s="1568">
        <v>11</v>
      </c>
    </row>
    <row r="89" spans="1:33" s="1568" customFormat="1" ht="11.45" customHeight="1">
      <c r="A89" s="917"/>
      <c r="B89" s="1563"/>
      <c r="C89" s="1563"/>
      <c r="D89" s="288"/>
      <c r="L89" s="1087"/>
      <c r="M89" s="1563"/>
      <c r="N89" s="1563"/>
      <c r="O89" s="1087"/>
      <c r="P89" s="1087"/>
      <c r="Q89" s="1087"/>
      <c r="R89" s="1087"/>
      <c r="S89" s="1563"/>
      <c r="T89" s="1087"/>
      <c r="U89" s="1087"/>
      <c r="V89" s="481"/>
      <c r="W89" s="1087"/>
      <c r="X89" s="1087"/>
      <c r="Y89" s="1087"/>
      <c r="Z89" s="1087"/>
      <c r="AA89" s="1087"/>
      <c r="AB89" s="1559"/>
      <c r="AC89" s="503"/>
      <c r="AD89" s="503"/>
      <c r="AE89" s="503"/>
      <c r="AF89" s="503"/>
      <c r="AG89" s="1568">
        <v>11</v>
      </c>
    </row>
    <row r="90" spans="1:33" s="1568" customFormat="1" ht="11.45" customHeight="1">
      <c r="A90" s="917"/>
      <c r="B90" s="1563"/>
      <c r="C90" s="1563"/>
      <c r="D90" s="288"/>
      <c r="L90" s="1087"/>
      <c r="M90" s="1563"/>
      <c r="N90" s="1563"/>
      <c r="O90" s="1087"/>
      <c r="P90" s="1087"/>
      <c r="Q90" s="1087"/>
      <c r="R90" s="1087"/>
      <c r="S90" s="1563"/>
      <c r="T90" s="1087"/>
      <c r="U90" s="1087"/>
      <c r="V90" s="481"/>
      <c r="W90" s="1087"/>
      <c r="X90" s="1087"/>
      <c r="Y90" s="1087"/>
      <c r="Z90" s="1087"/>
      <c r="AA90" s="1087"/>
      <c r="AB90" s="1559"/>
      <c r="AC90" s="503"/>
      <c r="AD90" s="503"/>
      <c r="AE90" s="503"/>
      <c r="AF90" s="503"/>
      <c r="AG90" s="1568">
        <v>11</v>
      </c>
    </row>
    <row r="91" spans="1:33" s="1568" customFormat="1" ht="11.45" customHeight="1">
      <c r="A91" s="917"/>
      <c r="B91" s="1563"/>
      <c r="C91" s="1563"/>
      <c r="D91" s="288"/>
      <c r="L91" s="1087"/>
      <c r="M91" s="1563"/>
      <c r="N91" s="1563"/>
      <c r="O91" s="1087"/>
      <c r="P91" s="1087"/>
      <c r="Q91" s="1087"/>
      <c r="R91" s="1087"/>
      <c r="S91" s="1563"/>
      <c r="T91" s="1087"/>
      <c r="U91" s="1087"/>
      <c r="V91" s="481"/>
      <c r="W91" s="1087"/>
      <c r="X91" s="1087"/>
      <c r="Y91" s="1087"/>
      <c r="Z91" s="1087"/>
      <c r="AA91" s="1087"/>
      <c r="AB91" s="1559"/>
      <c r="AC91" s="503"/>
      <c r="AD91" s="503"/>
      <c r="AE91" s="503"/>
      <c r="AF91" s="503"/>
      <c r="AG91" s="1568">
        <v>11</v>
      </c>
    </row>
    <row r="92" spans="1:33" s="1568" customFormat="1" ht="11.45" customHeight="1">
      <c r="A92" s="917"/>
      <c r="B92" s="1563"/>
      <c r="C92" s="1563"/>
      <c r="D92" s="288"/>
      <c r="L92" s="1087"/>
      <c r="M92" s="1563"/>
      <c r="N92" s="1563"/>
      <c r="O92" s="1087"/>
      <c r="P92" s="1087"/>
      <c r="Q92" s="1087"/>
      <c r="R92" s="1087"/>
      <c r="S92" s="1563"/>
      <c r="T92" s="1087"/>
      <c r="U92" s="1087"/>
      <c r="V92" s="481"/>
      <c r="W92" s="1087"/>
      <c r="X92" s="1087"/>
      <c r="Y92" s="1087"/>
      <c r="Z92" s="1087"/>
      <c r="AA92" s="1087"/>
      <c r="AB92" s="1559"/>
      <c r="AC92" s="503"/>
      <c r="AD92" s="503"/>
      <c r="AE92" s="503"/>
      <c r="AF92" s="503"/>
      <c r="AG92" s="1568">
        <v>11</v>
      </c>
    </row>
    <row r="93" spans="1:33" s="1568" customFormat="1" ht="11.45" customHeight="1">
      <c r="A93" s="917"/>
      <c r="B93" s="1563"/>
      <c r="C93" s="1563"/>
      <c r="D93" s="288"/>
      <c r="L93" s="1087"/>
      <c r="M93" s="1563"/>
      <c r="N93" s="1563"/>
      <c r="O93" s="1087"/>
      <c r="P93" s="1087"/>
      <c r="Q93" s="1087"/>
      <c r="R93" s="1087"/>
      <c r="S93" s="1563"/>
      <c r="T93" s="1087"/>
      <c r="U93" s="1087"/>
      <c r="V93" s="481"/>
      <c r="W93" s="1087"/>
      <c r="X93" s="1087"/>
      <c r="Y93" s="1087"/>
      <c r="Z93" s="1087"/>
      <c r="AA93" s="1087"/>
      <c r="AB93" s="1559"/>
      <c r="AC93" s="503"/>
      <c r="AD93" s="503"/>
      <c r="AE93" s="503"/>
      <c r="AF93" s="503"/>
      <c r="AG93" s="1568">
        <v>11</v>
      </c>
    </row>
    <row r="94" spans="1:33" s="1568" customFormat="1" ht="11.45" customHeight="1">
      <c r="A94" s="917"/>
      <c r="B94" s="1563"/>
      <c r="C94" s="1563"/>
      <c r="D94" s="288"/>
      <c r="L94" s="1087"/>
      <c r="M94" s="1563"/>
      <c r="N94" s="1563"/>
      <c r="O94" s="1087"/>
      <c r="P94" s="1087"/>
      <c r="Q94" s="1087"/>
      <c r="R94" s="1087"/>
      <c r="S94" s="1563"/>
      <c r="T94" s="1087"/>
      <c r="U94" s="1087"/>
      <c r="V94" s="481"/>
      <c r="W94" s="1087"/>
      <c r="X94" s="1087"/>
      <c r="Y94" s="1087"/>
      <c r="Z94" s="1087"/>
      <c r="AA94" s="1087"/>
      <c r="AB94" s="1559"/>
      <c r="AC94" s="503"/>
      <c r="AD94" s="503"/>
      <c r="AE94" s="503"/>
      <c r="AF94" s="503"/>
      <c r="AG94" s="1568">
        <v>11</v>
      </c>
    </row>
    <row r="95" spans="1:33" s="1568" customFormat="1" ht="11.45" customHeight="1">
      <c r="A95" s="917"/>
      <c r="B95" s="1563"/>
      <c r="C95" s="1563"/>
      <c r="D95" s="288"/>
      <c r="L95" s="1087"/>
      <c r="M95" s="1563"/>
      <c r="N95" s="1563"/>
      <c r="O95" s="1087"/>
      <c r="P95" s="1087"/>
      <c r="Q95" s="1087"/>
      <c r="R95" s="1087"/>
      <c r="S95" s="1563"/>
      <c r="T95" s="1087"/>
      <c r="U95" s="1087"/>
      <c r="V95" s="481"/>
      <c r="W95" s="1087"/>
      <c r="X95" s="1087"/>
      <c r="Y95" s="1087"/>
      <c r="Z95" s="1087"/>
      <c r="AA95" s="1087"/>
      <c r="AB95" s="1559"/>
      <c r="AC95" s="503"/>
      <c r="AD95" s="503"/>
      <c r="AE95" s="503"/>
      <c r="AF95" s="503"/>
      <c r="AG95" s="1568">
        <v>11</v>
      </c>
    </row>
    <row r="96" spans="1:33" s="1568" customFormat="1" ht="11.45" customHeight="1">
      <c r="A96" s="917"/>
      <c r="B96" s="1563"/>
      <c r="C96" s="1563"/>
      <c r="D96" s="288"/>
      <c r="L96" s="1087"/>
      <c r="M96" s="1563"/>
      <c r="N96" s="1563"/>
      <c r="O96" s="1087"/>
      <c r="P96" s="1087"/>
      <c r="Q96" s="1087"/>
      <c r="R96" s="1087"/>
      <c r="S96" s="1563"/>
      <c r="T96" s="1087"/>
      <c r="U96" s="1087"/>
      <c r="V96" s="481"/>
      <c r="W96" s="1087"/>
      <c r="X96" s="1087"/>
      <c r="Y96" s="1087"/>
      <c r="Z96" s="1087"/>
      <c r="AA96" s="1087"/>
      <c r="AB96" s="1559"/>
      <c r="AC96" s="503"/>
      <c r="AD96" s="503"/>
      <c r="AE96" s="503"/>
      <c r="AF96" s="503"/>
      <c r="AG96" s="1568">
        <v>11</v>
      </c>
    </row>
    <row r="97" spans="1:33" s="1568" customFormat="1" ht="11.45" customHeight="1">
      <c r="A97" s="917"/>
      <c r="B97" s="1563"/>
      <c r="C97" s="1563"/>
      <c r="D97" s="288"/>
      <c r="L97" s="1087"/>
      <c r="M97" s="1563"/>
      <c r="N97" s="1563"/>
      <c r="O97" s="1087"/>
      <c r="P97" s="1087"/>
      <c r="Q97" s="1087"/>
      <c r="R97" s="1087"/>
      <c r="S97" s="1563"/>
      <c r="T97" s="1087"/>
      <c r="U97" s="1087"/>
      <c r="V97" s="481"/>
      <c r="W97" s="1087"/>
      <c r="X97" s="1087"/>
      <c r="Y97" s="1087"/>
      <c r="Z97" s="1087"/>
      <c r="AA97" s="1087"/>
      <c r="AB97" s="1559"/>
      <c r="AC97" s="503"/>
      <c r="AD97" s="503"/>
      <c r="AE97" s="503"/>
      <c r="AF97" s="503"/>
      <c r="AG97" s="1568">
        <v>11</v>
      </c>
    </row>
    <row r="98" spans="1:33" s="1568" customFormat="1" ht="11.45" customHeight="1">
      <c r="A98" s="917"/>
      <c r="B98" s="1563"/>
      <c r="C98" s="1563"/>
      <c r="D98" s="288"/>
      <c r="L98" s="1087"/>
      <c r="M98" s="1563"/>
      <c r="N98" s="1563"/>
      <c r="O98" s="1087"/>
      <c r="P98" s="1087"/>
      <c r="Q98" s="1087"/>
      <c r="R98" s="1087"/>
      <c r="S98" s="1563"/>
      <c r="T98" s="1087"/>
      <c r="U98" s="1087"/>
      <c r="V98" s="481"/>
      <c r="W98" s="1087"/>
      <c r="X98" s="1087"/>
      <c r="Y98" s="1087"/>
      <c r="Z98" s="1087"/>
      <c r="AA98" s="1087"/>
      <c r="AB98" s="1559"/>
      <c r="AC98" s="503"/>
      <c r="AD98" s="503"/>
      <c r="AE98" s="503"/>
      <c r="AF98" s="503"/>
      <c r="AG98" s="1568">
        <v>11</v>
      </c>
    </row>
    <row r="99" spans="1:33" s="1568" customFormat="1" ht="11.45" customHeight="1">
      <c r="A99" s="917"/>
      <c r="B99" s="1563"/>
      <c r="C99" s="1563"/>
      <c r="D99" s="288"/>
      <c r="L99" s="1087"/>
      <c r="M99" s="1563"/>
      <c r="N99" s="1563"/>
      <c r="O99" s="1087"/>
      <c r="P99" s="1087"/>
      <c r="Q99" s="1087"/>
      <c r="R99" s="1087"/>
      <c r="S99" s="1563"/>
      <c r="T99" s="1087"/>
      <c r="U99" s="1087"/>
      <c r="V99" s="481"/>
      <c r="W99" s="1087"/>
      <c r="X99" s="1087"/>
      <c r="Y99" s="1087"/>
      <c r="Z99" s="1087"/>
      <c r="AA99" s="1087"/>
      <c r="AB99" s="1559"/>
      <c r="AC99" s="503"/>
      <c r="AD99" s="503"/>
      <c r="AE99" s="503"/>
      <c r="AF99" s="503"/>
      <c r="AG99" s="1568">
        <v>11</v>
      </c>
    </row>
    <row r="100" spans="1:33" s="1568" customFormat="1" ht="11.45" customHeight="1">
      <c r="A100" s="917"/>
      <c r="B100" s="1563"/>
      <c r="C100" s="1563"/>
      <c r="D100" s="288"/>
      <c r="L100" s="1087"/>
      <c r="M100" s="1563"/>
      <c r="N100" s="1563"/>
      <c r="O100" s="1087"/>
      <c r="P100" s="1087"/>
      <c r="Q100" s="1087"/>
      <c r="R100" s="1087"/>
      <c r="S100" s="1563"/>
      <c r="T100" s="1087"/>
      <c r="U100" s="1087"/>
      <c r="V100" s="481"/>
      <c r="W100" s="1087"/>
      <c r="X100" s="1087"/>
      <c r="Y100" s="1087"/>
      <c r="Z100" s="1087"/>
      <c r="AA100" s="1087"/>
      <c r="AB100" s="1559"/>
      <c r="AC100" s="503"/>
      <c r="AD100" s="503"/>
      <c r="AE100" s="503"/>
      <c r="AF100" s="503"/>
      <c r="AG100" s="1568">
        <v>11</v>
      </c>
    </row>
    <row r="101" spans="1:33" s="1568" customFormat="1" ht="11.45" customHeight="1">
      <c r="A101" s="917"/>
      <c r="B101" s="1563"/>
      <c r="C101" s="1563"/>
      <c r="D101" s="288"/>
      <c r="L101" s="1087"/>
      <c r="M101" s="1563"/>
      <c r="N101" s="1563"/>
      <c r="O101" s="1087"/>
      <c r="P101" s="1087"/>
      <c r="Q101" s="1087"/>
      <c r="R101" s="1087"/>
      <c r="S101" s="1563"/>
      <c r="T101" s="1087"/>
      <c r="U101" s="1087"/>
      <c r="V101" s="481"/>
      <c r="W101" s="1087"/>
      <c r="X101" s="1087"/>
      <c r="Y101" s="1087"/>
      <c r="Z101" s="1087"/>
      <c r="AA101" s="1087"/>
      <c r="AB101" s="1559"/>
      <c r="AC101" s="503"/>
      <c r="AD101" s="503"/>
      <c r="AE101" s="503"/>
      <c r="AF101" s="503"/>
      <c r="AG101" s="1568">
        <v>11</v>
      </c>
    </row>
    <row r="102" spans="1:33" s="1568" customFormat="1" ht="11.45" customHeight="1">
      <c r="A102" s="917"/>
      <c r="B102" s="1563"/>
      <c r="C102" s="1563"/>
      <c r="D102" s="288"/>
      <c r="L102" s="1087"/>
      <c r="M102" s="1563"/>
      <c r="N102" s="1563"/>
      <c r="O102" s="1087"/>
      <c r="P102" s="1087"/>
      <c r="Q102" s="1087"/>
      <c r="R102" s="1087"/>
      <c r="S102" s="1563"/>
      <c r="T102" s="1087"/>
      <c r="U102" s="1087"/>
      <c r="V102" s="481"/>
      <c r="W102" s="1087"/>
      <c r="X102" s="1087"/>
      <c r="Y102" s="1087"/>
      <c r="Z102" s="1087"/>
      <c r="AA102" s="1087"/>
      <c r="AB102" s="1559"/>
      <c r="AC102" s="503"/>
      <c r="AD102" s="503"/>
      <c r="AE102" s="503"/>
      <c r="AF102" s="503"/>
      <c r="AG102" s="1568">
        <v>11</v>
      </c>
    </row>
    <row r="103" spans="1:33" s="1568" customFormat="1" ht="11.45" customHeight="1">
      <c r="A103" s="917"/>
      <c r="B103" s="1563"/>
      <c r="C103" s="1563"/>
      <c r="D103" s="288"/>
      <c r="L103" s="1087"/>
      <c r="M103" s="1563"/>
      <c r="N103" s="1563"/>
      <c r="O103" s="1087"/>
      <c r="P103" s="1087"/>
      <c r="Q103" s="1087"/>
      <c r="R103" s="1087"/>
      <c r="S103" s="1563"/>
      <c r="T103" s="1087"/>
      <c r="U103" s="1087"/>
      <c r="V103" s="481"/>
      <c r="W103" s="1087"/>
      <c r="X103" s="1087"/>
      <c r="Y103" s="1087"/>
      <c r="Z103" s="1087"/>
      <c r="AA103" s="1087"/>
      <c r="AB103" s="1559"/>
      <c r="AC103" s="503"/>
      <c r="AD103" s="503"/>
      <c r="AE103" s="503"/>
      <c r="AF103" s="503"/>
      <c r="AG103" s="1568">
        <v>11</v>
      </c>
    </row>
    <row r="104" spans="1:33" s="1568" customFormat="1" ht="11.45" customHeight="1">
      <c r="A104" s="917"/>
      <c r="B104" s="1563"/>
      <c r="C104" s="1563"/>
      <c r="D104" s="288"/>
      <c r="L104" s="1087"/>
      <c r="M104" s="1563"/>
      <c r="N104" s="1563"/>
      <c r="O104" s="1087"/>
      <c r="P104" s="1087"/>
      <c r="Q104" s="1087"/>
      <c r="R104" s="1087"/>
      <c r="S104" s="1563"/>
      <c r="T104" s="1087"/>
      <c r="U104" s="1087"/>
      <c r="V104" s="481"/>
      <c r="W104" s="1087"/>
      <c r="X104" s="1087"/>
      <c r="Y104" s="1087"/>
      <c r="Z104" s="1087"/>
      <c r="AA104" s="1087"/>
      <c r="AB104" s="1559"/>
      <c r="AC104" s="503"/>
      <c r="AD104" s="503"/>
      <c r="AE104" s="503"/>
      <c r="AF104" s="503"/>
      <c r="AG104" s="1568">
        <v>11</v>
      </c>
    </row>
    <row r="105" spans="1:33" s="1568" customFormat="1" ht="11.45" customHeight="1">
      <c r="A105" s="917"/>
      <c r="B105" s="1563"/>
      <c r="C105" s="1563"/>
      <c r="D105" s="288"/>
      <c r="L105" s="1087"/>
      <c r="M105" s="1563"/>
      <c r="N105" s="1563"/>
      <c r="O105" s="1087"/>
      <c r="P105" s="1087"/>
      <c r="Q105" s="1087"/>
      <c r="R105" s="1087"/>
      <c r="S105" s="1563"/>
      <c r="T105" s="1087"/>
      <c r="U105" s="1087"/>
      <c r="V105" s="481"/>
      <c r="W105" s="1087"/>
      <c r="X105" s="1087"/>
      <c r="Y105" s="1087"/>
      <c r="Z105" s="1087"/>
      <c r="AA105" s="1087"/>
      <c r="AB105" s="1559"/>
      <c r="AC105" s="503"/>
      <c r="AD105" s="503"/>
      <c r="AE105" s="503"/>
      <c r="AF105" s="503"/>
      <c r="AG105" s="1568">
        <v>11</v>
      </c>
    </row>
    <row r="106" spans="1:33" s="1568" customFormat="1" ht="11.45" customHeight="1">
      <c r="A106" s="917"/>
      <c r="B106" s="1563"/>
      <c r="C106" s="1563"/>
      <c r="D106" s="288"/>
      <c r="L106" s="1087"/>
      <c r="M106" s="1563"/>
      <c r="N106" s="1563"/>
      <c r="O106" s="1087"/>
      <c r="P106" s="1087"/>
      <c r="Q106" s="1087"/>
      <c r="R106" s="1087"/>
      <c r="S106" s="1563"/>
      <c r="T106" s="1087"/>
      <c r="U106" s="1087"/>
      <c r="V106" s="481"/>
      <c r="W106" s="1087"/>
      <c r="X106" s="1087"/>
      <c r="Y106" s="1087"/>
      <c r="Z106" s="1087"/>
      <c r="AA106" s="1087"/>
      <c r="AB106" s="1559"/>
      <c r="AC106" s="503"/>
      <c r="AD106" s="503"/>
      <c r="AE106" s="503"/>
      <c r="AF106" s="503"/>
      <c r="AG106" s="1568">
        <v>11</v>
      </c>
    </row>
    <row r="107" spans="1:33" s="1568" customFormat="1" ht="11.45" customHeight="1">
      <c r="A107" s="917"/>
      <c r="B107" s="1563"/>
      <c r="C107" s="1563"/>
      <c r="D107" s="288"/>
      <c r="L107" s="1087"/>
      <c r="M107" s="1563"/>
      <c r="N107" s="1563"/>
      <c r="O107" s="1087"/>
      <c r="P107" s="1087"/>
      <c r="Q107" s="1087"/>
      <c r="R107" s="1087"/>
      <c r="S107" s="1563"/>
      <c r="T107" s="1087"/>
      <c r="U107" s="1087"/>
      <c r="V107" s="481"/>
      <c r="W107" s="1087"/>
      <c r="X107" s="1087"/>
      <c r="Y107" s="1087"/>
      <c r="Z107" s="1087"/>
      <c r="AA107" s="1087"/>
      <c r="AB107" s="1559"/>
      <c r="AC107" s="503"/>
      <c r="AD107" s="503"/>
      <c r="AE107" s="503"/>
      <c r="AF107" s="503"/>
      <c r="AG107" s="1568">
        <v>11</v>
      </c>
    </row>
    <row r="108" spans="1:33" s="1568" customFormat="1" ht="11.45" customHeight="1">
      <c r="A108" s="917"/>
      <c r="B108" s="1563"/>
      <c r="C108" s="1563"/>
      <c r="D108" s="288"/>
      <c r="L108" s="1087"/>
      <c r="M108" s="1563"/>
      <c r="N108" s="1563"/>
      <c r="O108" s="1087"/>
      <c r="P108" s="1087"/>
      <c r="Q108" s="1087"/>
      <c r="R108" s="1087"/>
      <c r="S108" s="1563"/>
      <c r="T108" s="1087"/>
      <c r="U108" s="1087"/>
      <c r="V108" s="481"/>
      <c r="W108" s="1087"/>
      <c r="X108" s="1087"/>
      <c r="Y108" s="1087"/>
      <c r="Z108" s="1087"/>
      <c r="AA108" s="1087"/>
      <c r="AB108" s="1559"/>
      <c r="AC108" s="503"/>
      <c r="AD108" s="503"/>
      <c r="AE108" s="503"/>
      <c r="AF108" s="503"/>
      <c r="AG108" s="1568">
        <v>11</v>
      </c>
    </row>
    <row r="109" spans="1:33" s="1568" customFormat="1" ht="11.45" customHeight="1">
      <c r="A109" s="917"/>
      <c r="B109" s="1563"/>
      <c r="C109" s="1563"/>
      <c r="D109" s="288"/>
      <c r="L109" s="1087"/>
      <c r="M109" s="1563"/>
      <c r="N109" s="1563"/>
      <c r="O109" s="1087"/>
      <c r="P109" s="1087"/>
      <c r="Q109" s="1087"/>
      <c r="R109" s="1087"/>
      <c r="S109" s="1563"/>
      <c r="T109" s="1087"/>
      <c r="U109" s="1087"/>
      <c r="V109" s="481"/>
      <c r="W109" s="1087"/>
      <c r="X109" s="1087"/>
      <c r="Y109" s="1087"/>
      <c r="Z109" s="1087"/>
      <c r="AA109" s="1087"/>
      <c r="AB109" s="1559"/>
      <c r="AC109" s="503"/>
      <c r="AD109" s="503"/>
      <c r="AE109" s="503"/>
      <c r="AF109" s="503"/>
      <c r="AG109" s="1568">
        <v>11</v>
      </c>
    </row>
    <row r="110" spans="1:33" s="1568" customFormat="1" ht="11.45" customHeight="1">
      <c r="A110" s="917"/>
      <c r="B110" s="1563"/>
      <c r="C110" s="1563"/>
      <c r="D110" s="288"/>
      <c r="L110" s="1087"/>
      <c r="M110" s="1563"/>
      <c r="N110" s="1563"/>
      <c r="O110" s="1087"/>
      <c r="P110" s="1087"/>
      <c r="Q110" s="1087"/>
      <c r="R110" s="1087"/>
      <c r="S110" s="1563"/>
      <c r="T110" s="1087"/>
      <c r="U110" s="1087"/>
      <c r="V110" s="481"/>
      <c r="W110" s="1087"/>
      <c r="X110" s="1087"/>
      <c r="Y110" s="1087"/>
      <c r="Z110" s="1087"/>
      <c r="AA110" s="1087"/>
      <c r="AB110" s="1559"/>
      <c r="AC110" s="503"/>
      <c r="AD110" s="503"/>
      <c r="AE110" s="503"/>
      <c r="AF110" s="503"/>
      <c r="AG110" s="1568">
        <v>11</v>
      </c>
    </row>
    <row r="111" spans="1:33" s="1568" customFormat="1" ht="11.45" customHeight="1">
      <c r="A111" s="917"/>
      <c r="B111" s="1563"/>
      <c r="C111" s="1563"/>
      <c r="D111" s="288"/>
      <c r="L111" s="1087"/>
      <c r="M111" s="1563"/>
      <c r="N111" s="1563"/>
      <c r="O111" s="1087"/>
      <c r="P111" s="1087"/>
      <c r="Q111" s="1087"/>
      <c r="R111" s="1087"/>
      <c r="S111" s="1563"/>
      <c r="T111" s="1087"/>
      <c r="U111" s="1087"/>
      <c r="V111" s="481"/>
      <c r="W111" s="1087"/>
      <c r="X111" s="1087"/>
      <c r="Y111" s="1087"/>
      <c r="Z111" s="1087"/>
      <c r="AA111" s="1087"/>
      <c r="AB111" s="1559"/>
      <c r="AC111" s="503"/>
      <c r="AD111" s="503"/>
      <c r="AE111" s="503"/>
      <c r="AF111" s="503"/>
      <c r="AG111" s="1568">
        <v>11</v>
      </c>
    </row>
    <row r="112" spans="1:33" s="1568" customFormat="1" ht="11.45" customHeight="1">
      <c r="A112" s="917"/>
      <c r="B112" s="1563"/>
      <c r="C112" s="1563"/>
      <c r="D112" s="288"/>
      <c r="L112" s="1087"/>
      <c r="M112" s="1563"/>
      <c r="N112" s="1563"/>
      <c r="O112" s="1087"/>
      <c r="P112" s="1087"/>
      <c r="Q112" s="1087"/>
      <c r="R112" s="1087"/>
      <c r="S112" s="1563"/>
      <c r="T112" s="1087"/>
      <c r="U112" s="1087"/>
      <c r="V112" s="481"/>
      <c r="W112" s="1087"/>
      <c r="X112" s="1087"/>
      <c r="Y112" s="1087"/>
      <c r="Z112" s="1087"/>
      <c r="AA112" s="1087"/>
      <c r="AB112" s="1559"/>
      <c r="AC112" s="503"/>
      <c r="AD112" s="503"/>
      <c r="AE112" s="503"/>
      <c r="AF112" s="503"/>
      <c r="AG112" s="1568">
        <v>11</v>
      </c>
    </row>
    <row r="113" spans="1:33" s="1568" customFormat="1" ht="11.45" customHeight="1">
      <c r="A113" s="917"/>
      <c r="B113" s="1563"/>
      <c r="C113" s="1563"/>
      <c r="D113" s="288"/>
      <c r="L113" s="1087"/>
      <c r="M113" s="1563"/>
      <c r="N113" s="1563"/>
      <c r="O113" s="1087"/>
      <c r="P113" s="1087"/>
      <c r="Q113" s="1087"/>
      <c r="R113" s="1087"/>
      <c r="S113" s="1563"/>
      <c r="T113" s="1087"/>
      <c r="U113" s="1087"/>
      <c r="V113" s="481"/>
      <c r="W113" s="1087"/>
      <c r="X113" s="1087"/>
      <c r="Y113" s="1087"/>
      <c r="Z113" s="1087"/>
      <c r="AA113" s="1087"/>
      <c r="AB113" s="1559"/>
      <c r="AC113" s="503"/>
      <c r="AD113" s="503"/>
      <c r="AE113" s="503"/>
      <c r="AF113" s="503"/>
      <c r="AG113" s="1568">
        <v>11</v>
      </c>
    </row>
    <row r="114" spans="1:33" s="1568" customFormat="1" ht="11.45" customHeight="1">
      <c r="A114" s="917"/>
      <c r="B114" s="1563"/>
      <c r="C114" s="1563"/>
      <c r="D114" s="288"/>
      <c r="L114" s="1087"/>
      <c r="M114" s="1563"/>
      <c r="N114" s="1563"/>
      <c r="O114" s="1087"/>
      <c r="P114" s="1087"/>
      <c r="Q114" s="1087"/>
      <c r="R114" s="1087"/>
      <c r="S114" s="1563"/>
      <c r="T114" s="1087"/>
      <c r="U114" s="1087"/>
      <c r="V114" s="481"/>
      <c r="W114" s="1087"/>
      <c r="X114" s="1087"/>
      <c r="Y114" s="1087"/>
      <c r="Z114" s="1087"/>
      <c r="AA114" s="1087"/>
      <c r="AB114" s="1559"/>
      <c r="AC114" s="503"/>
      <c r="AD114" s="503"/>
      <c r="AE114" s="503"/>
      <c r="AF114" s="503"/>
      <c r="AG114" s="1568">
        <v>11</v>
      </c>
    </row>
    <row r="115" spans="1:33" s="1568" customFormat="1" ht="11.45" customHeight="1">
      <c r="A115" s="917"/>
      <c r="B115" s="1563"/>
      <c r="C115" s="1563"/>
      <c r="D115" s="288"/>
      <c r="L115" s="1087"/>
      <c r="M115" s="1563"/>
      <c r="N115" s="1563"/>
      <c r="O115" s="1087"/>
      <c r="P115" s="1087"/>
      <c r="Q115" s="1087"/>
      <c r="R115" s="1087"/>
      <c r="S115" s="1563"/>
      <c r="T115" s="1087"/>
      <c r="U115" s="1087"/>
      <c r="V115" s="481"/>
      <c r="W115" s="1087"/>
      <c r="X115" s="1087"/>
      <c r="Y115" s="1087"/>
      <c r="Z115" s="1087"/>
      <c r="AA115" s="1087"/>
      <c r="AB115" s="1559"/>
      <c r="AC115" s="503"/>
      <c r="AD115" s="503"/>
      <c r="AE115" s="503"/>
      <c r="AF115" s="503"/>
      <c r="AG115" s="1568">
        <v>11</v>
      </c>
    </row>
    <row r="116" spans="1:33" s="1568" customFormat="1" ht="11.45" customHeight="1">
      <c r="A116" s="917"/>
      <c r="B116" s="1563"/>
      <c r="C116" s="1563"/>
      <c r="D116" s="288"/>
      <c r="L116" s="1087"/>
      <c r="M116" s="1563"/>
      <c r="N116" s="1563"/>
      <c r="O116" s="1087"/>
      <c r="P116" s="1087"/>
      <c r="Q116" s="1087"/>
      <c r="R116" s="1087"/>
      <c r="S116" s="1563"/>
      <c r="T116" s="1087"/>
      <c r="U116" s="1087"/>
      <c r="V116" s="481"/>
      <c r="W116" s="1087"/>
      <c r="X116" s="1087"/>
      <c r="Y116" s="1087"/>
      <c r="Z116" s="1087"/>
      <c r="AA116" s="1087"/>
      <c r="AB116" s="1559"/>
      <c r="AC116" s="503"/>
      <c r="AD116" s="503"/>
      <c r="AE116" s="503"/>
      <c r="AF116" s="503"/>
      <c r="AG116" s="1568">
        <v>11</v>
      </c>
    </row>
    <row r="117" spans="1:33" s="1568" customFormat="1" ht="11.45" customHeight="1">
      <c r="A117" s="917"/>
      <c r="B117" s="1563"/>
      <c r="C117" s="1563"/>
      <c r="D117" s="288"/>
      <c r="L117" s="1087"/>
      <c r="M117" s="1563"/>
      <c r="N117" s="1563"/>
      <c r="O117" s="1087"/>
      <c r="P117" s="1087"/>
      <c r="Q117" s="1087"/>
      <c r="R117" s="1087"/>
      <c r="S117" s="1563"/>
      <c r="T117" s="1087"/>
      <c r="U117" s="1087"/>
      <c r="V117" s="481"/>
      <c r="W117" s="1087"/>
      <c r="X117" s="1087"/>
      <c r="Y117" s="1087"/>
      <c r="Z117" s="1087"/>
      <c r="AA117" s="1087"/>
      <c r="AB117" s="1559"/>
      <c r="AC117" s="503"/>
      <c r="AD117" s="503"/>
      <c r="AE117" s="503"/>
      <c r="AF117" s="503"/>
      <c r="AG117" s="1568">
        <v>11</v>
      </c>
    </row>
    <row r="118" spans="1:33" s="1568" customFormat="1" ht="11.45" customHeight="1">
      <c r="A118" s="917"/>
      <c r="B118" s="1563"/>
      <c r="C118" s="1563"/>
      <c r="D118" s="288"/>
      <c r="L118" s="1087"/>
      <c r="M118" s="1563"/>
      <c r="N118" s="1563"/>
      <c r="O118" s="1087"/>
      <c r="P118" s="1087"/>
      <c r="Q118" s="1087"/>
      <c r="R118" s="1087"/>
      <c r="S118" s="1563"/>
      <c r="T118" s="1087"/>
      <c r="U118" s="1087"/>
      <c r="V118" s="481"/>
      <c r="W118" s="1087"/>
      <c r="X118" s="1087"/>
      <c r="Y118" s="1087"/>
      <c r="Z118" s="1087"/>
      <c r="AA118" s="1087"/>
      <c r="AB118" s="1559"/>
      <c r="AC118" s="503"/>
      <c r="AD118" s="503"/>
      <c r="AE118" s="503"/>
      <c r="AF118" s="503"/>
      <c r="AG118" s="1568">
        <v>11</v>
      </c>
    </row>
    <row r="119" spans="1:33" s="1568" customFormat="1" ht="11.45" customHeight="1">
      <c r="A119" s="917"/>
      <c r="B119" s="1563"/>
      <c r="C119" s="1563"/>
      <c r="D119" s="288"/>
      <c r="L119" s="1087"/>
      <c r="M119" s="1563"/>
      <c r="N119" s="1563"/>
      <c r="O119" s="1087"/>
      <c r="P119" s="1087"/>
      <c r="Q119" s="1087"/>
      <c r="R119" s="1087"/>
      <c r="S119" s="1563"/>
      <c r="T119" s="1087"/>
      <c r="U119" s="1087"/>
      <c r="V119" s="481"/>
      <c r="W119" s="1087"/>
      <c r="X119" s="1087"/>
      <c r="Y119" s="1087"/>
      <c r="Z119" s="1087"/>
      <c r="AA119" s="1087"/>
      <c r="AB119" s="1559"/>
      <c r="AC119" s="503"/>
      <c r="AD119" s="503"/>
      <c r="AE119" s="503"/>
      <c r="AF119" s="503"/>
      <c r="AG119" s="1568">
        <v>11</v>
      </c>
    </row>
    <row r="120" spans="1:33" s="1568" customFormat="1" ht="11.45" customHeight="1">
      <c r="A120" s="917"/>
      <c r="B120" s="1563"/>
      <c r="C120" s="1563"/>
      <c r="D120" s="288"/>
      <c r="L120" s="1087"/>
      <c r="M120" s="1563"/>
      <c r="N120" s="1563"/>
      <c r="O120" s="1087"/>
      <c r="P120" s="1087"/>
      <c r="Q120" s="1087"/>
      <c r="R120" s="1087"/>
      <c r="S120" s="1563"/>
      <c r="T120" s="1087"/>
      <c r="U120" s="1087"/>
      <c r="V120" s="481"/>
      <c r="W120" s="1087"/>
      <c r="X120" s="1087"/>
      <c r="Y120" s="1087"/>
      <c r="Z120" s="1087"/>
      <c r="AA120" s="1087"/>
      <c r="AB120" s="1559"/>
      <c r="AC120" s="503"/>
      <c r="AD120" s="503"/>
      <c r="AE120" s="503"/>
      <c r="AF120" s="503"/>
      <c r="AG120" s="1568">
        <v>11</v>
      </c>
    </row>
    <row r="121" spans="1:33" s="1568" customFormat="1" ht="11.45" customHeight="1">
      <c r="A121" s="917"/>
      <c r="B121" s="1563"/>
      <c r="C121" s="1563"/>
      <c r="D121" s="288"/>
      <c r="L121" s="1087"/>
      <c r="M121" s="1563"/>
      <c r="N121" s="1563"/>
      <c r="O121" s="1087"/>
      <c r="P121" s="1087"/>
      <c r="Q121" s="1087"/>
      <c r="R121" s="1087"/>
      <c r="S121" s="1563"/>
      <c r="T121" s="1087"/>
      <c r="U121" s="1087"/>
      <c r="V121" s="481"/>
      <c r="W121" s="1087"/>
      <c r="X121" s="1087"/>
      <c r="Y121" s="1087"/>
      <c r="Z121" s="1087"/>
      <c r="AA121" s="1087"/>
      <c r="AB121" s="1559"/>
      <c r="AC121" s="503"/>
      <c r="AD121" s="503"/>
      <c r="AE121" s="503"/>
      <c r="AF121" s="503"/>
      <c r="AG121" s="1568">
        <v>11</v>
      </c>
    </row>
    <row r="122" spans="1:33" s="1568" customFormat="1" ht="11.45" customHeight="1">
      <c r="A122" s="917"/>
      <c r="B122" s="1563"/>
      <c r="C122" s="1563"/>
      <c r="D122" s="288"/>
      <c r="L122" s="1087"/>
      <c r="M122" s="1563"/>
      <c r="N122" s="1563"/>
      <c r="O122" s="1087"/>
      <c r="P122" s="1087"/>
      <c r="Q122" s="1087"/>
      <c r="R122" s="1087"/>
      <c r="S122" s="1563"/>
      <c r="T122" s="1087"/>
      <c r="U122" s="1087"/>
      <c r="V122" s="481"/>
      <c r="W122" s="1087"/>
      <c r="X122" s="1087"/>
      <c r="Y122" s="1087"/>
      <c r="Z122" s="1087"/>
      <c r="AA122" s="1087"/>
      <c r="AB122" s="1559"/>
      <c r="AC122" s="503"/>
      <c r="AD122" s="503"/>
      <c r="AE122" s="503"/>
      <c r="AF122" s="503"/>
      <c r="AG122" s="1568">
        <v>11</v>
      </c>
    </row>
    <row r="123" spans="1:33" s="1568" customFormat="1" ht="11.45" customHeight="1">
      <c r="A123" s="917"/>
      <c r="B123" s="1563"/>
      <c r="C123" s="1563"/>
      <c r="D123" s="288"/>
      <c r="L123" s="1087"/>
      <c r="M123" s="1563"/>
      <c r="N123" s="1563"/>
      <c r="O123" s="1087"/>
      <c r="P123" s="1087"/>
      <c r="Q123" s="1087"/>
      <c r="R123" s="1087"/>
      <c r="S123" s="1563"/>
      <c r="T123" s="1087"/>
      <c r="U123" s="1087"/>
      <c r="V123" s="481"/>
      <c r="W123" s="1087"/>
      <c r="X123" s="1087"/>
      <c r="Y123" s="1087"/>
      <c r="Z123" s="1087"/>
      <c r="AA123" s="1087"/>
      <c r="AB123" s="1559"/>
      <c r="AC123" s="503"/>
      <c r="AD123" s="503"/>
      <c r="AE123" s="503"/>
      <c r="AF123" s="503"/>
      <c r="AG123" s="1568">
        <v>11</v>
      </c>
    </row>
    <row r="124" spans="1:33" s="1568" customFormat="1" ht="11.45" customHeight="1">
      <c r="A124" s="917"/>
      <c r="B124" s="1563"/>
      <c r="C124" s="1563"/>
      <c r="D124" s="288"/>
      <c r="L124" s="1087"/>
      <c r="M124" s="1563"/>
      <c r="N124" s="1563"/>
      <c r="O124" s="1087"/>
      <c r="P124" s="1087"/>
      <c r="Q124" s="1087"/>
      <c r="R124" s="1087"/>
      <c r="S124" s="1563"/>
      <c r="T124" s="1087"/>
      <c r="U124" s="1087"/>
      <c r="V124" s="481"/>
      <c r="W124" s="1087"/>
      <c r="X124" s="1087"/>
      <c r="Y124" s="1087"/>
      <c r="Z124" s="1087"/>
      <c r="AA124" s="1087"/>
      <c r="AB124" s="1559"/>
      <c r="AC124" s="503"/>
      <c r="AD124" s="503"/>
      <c r="AE124" s="503"/>
      <c r="AF124" s="503"/>
      <c r="AG124" s="1568">
        <v>11</v>
      </c>
    </row>
    <row r="125" spans="1:33" s="1568" customFormat="1" ht="11.45" customHeight="1">
      <c r="A125" s="917"/>
      <c r="B125" s="1563"/>
      <c r="C125" s="1563"/>
      <c r="D125" s="288"/>
      <c r="L125" s="1087"/>
      <c r="M125" s="1563"/>
      <c r="N125" s="1563"/>
      <c r="O125" s="1087"/>
      <c r="P125" s="1087"/>
      <c r="Q125" s="1087"/>
      <c r="R125" s="1087"/>
      <c r="S125" s="1563"/>
      <c r="T125" s="1087"/>
      <c r="U125" s="1087"/>
      <c r="V125" s="481"/>
      <c r="W125" s="1087"/>
      <c r="X125" s="1087"/>
      <c r="Y125" s="1087"/>
      <c r="Z125" s="1087"/>
      <c r="AA125" s="1087"/>
      <c r="AB125" s="1559"/>
      <c r="AC125" s="503"/>
      <c r="AD125" s="503"/>
      <c r="AE125" s="503"/>
      <c r="AF125" s="503"/>
      <c r="AG125" s="1568">
        <v>11</v>
      </c>
    </row>
    <row r="126" spans="1:33" s="1568" customFormat="1" ht="11.45" customHeight="1">
      <c r="A126" s="917"/>
      <c r="B126" s="1563"/>
      <c r="C126" s="1563"/>
      <c r="D126" s="288"/>
      <c r="L126" s="1087"/>
      <c r="M126" s="1563"/>
      <c r="N126" s="1563"/>
      <c r="O126" s="1087"/>
      <c r="P126" s="1087"/>
      <c r="Q126" s="1087"/>
      <c r="R126" s="1087"/>
      <c r="S126" s="1563"/>
      <c r="T126" s="1087"/>
      <c r="U126" s="1087"/>
      <c r="V126" s="481"/>
      <c r="W126" s="1087"/>
      <c r="X126" s="1087"/>
      <c r="Y126" s="1087"/>
      <c r="Z126" s="1087"/>
      <c r="AA126" s="1087"/>
      <c r="AB126" s="1559"/>
      <c r="AC126" s="503"/>
      <c r="AD126" s="503"/>
      <c r="AE126" s="503"/>
      <c r="AF126" s="503"/>
      <c r="AG126" s="1568">
        <v>11</v>
      </c>
    </row>
    <row r="127" spans="1:33" s="1568" customFormat="1" ht="11.45" customHeight="1">
      <c r="A127" s="917"/>
      <c r="B127" s="1563"/>
      <c r="C127" s="1563"/>
      <c r="D127" s="288"/>
      <c r="L127" s="1087"/>
      <c r="M127" s="1563"/>
      <c r="N127" s="1563"/>
      <c r="O127" s="1087"/>
      <c r="P127" s="1087"/>
      <c r="Q127" s="1087"/>
      <c r="R127" s="1087"/>
      <c r="S127" s="1563"/>
      <c r="T127" s="1087"/>
      <c r="U127" s="1087"/>
      <c r="V127" s="481"/>
      <c r="W127" s="1087"/>
      <c r="X127" s="1087"/>
      <c r="Y127" s="1087"/>
      <c r="Z127" s="1087"/>
      <c r="AA127" s="1087"/>
      <c r="AB127" s="1559"/>
      <c r="AC127" s="503"/>
      <c r="AD127" s="503"/>
      <c r="AE127" s="503"/>
      <c r="AF127" s="503"/>
      <c r="AG127" s="1568">
        <v>11</v>
      </c>
    </row>
    <row r="128" spans="1:33" s="1568" customFormat="1" ht="11.45" customHeight="1">
      <c r="A128" s="917"/>
      <c r="B128" s="1563"/>
      <c r="C128" s="1563"/>
      <c r="D128" s="288"/>
      <c r="L128" s="1087"/>
      <c r="M128" s="1563"/>
      <c r="N128" s="1563"/>
      <c r="O128" s="1087"/>
      <c r="P128" s="1087"/>
      <c r="Q128" s="1087"/>
      <c r="R128" s="1087"/>
      <c r="S128" s="1563"/>
      <c r="T128" s="1087"/>
      <c r="U128" s="1087"/>
      <c r="V128" s="481"/>
      <c r="W128" s="1087"/>
      <c r="X128" s="1087"/>
      <c r="Y128" s="1087"/>
      <c r="Z128" s="1087"/>
      <c r="AA128" s="1087"/>
      <c r="AB128" s="1559"/>
      <c r="AC128" s="503"/>
      <c r="AD128" s="503"/>
      <c r="AE128" s="503"/>
      <c r="AF128" s="503"/>
      <c r="AG128" s="1568">
        <v>11</v>
      </c>
    </row>
    <row r="129" spans="1:33" s="1568" customFormat="1" ht="11.45" customHeight="1">
      <c r="A129" s="917"/>
      <c r="B129" s="1563"/>
      <c r="C129" s="1563"/>
      <c r="D129" s="288"/>
      <c r="L129" s="1087"/>
      <c r="M129" s="1563"/>
      <c r="N129" s="1563"/>
      <c r="O129" s="1087"/>
      <c r="P129" s="1087"/>
      <c r="Q129" s="1087"/>
      <c r="R129" s="1087"/>
      <c r="S129" s="1563"/>
      <c r="T129" s="1087"/>
      <c r="U129" s="1087"/>
      <c r="V129" s="481"/>
      <c r="W129" s="1087"/>
      <c r="X129" s="1087"/>
      <c r="Y129" s="1087"/>
      <c r="Z129" s="1087"/>
      <c r="AA129" s="1087"/>
      <c r="AB129" s="1559"/>
      <c r="AC129" s="503"/>
      <c r="AD129" s="503"/>
      <c r="AE129" s="503"/>
      <c r="AF129" s="503"/>
      <c r="AG129" s="1568">
        <v>11</v>
      </c>
    </row>
    <row r="130" spans="1:33" s="1568" customFormat="1" ht="11.45" customHeight="1">
      <c r="A130" s="917"/>
      <c r="B130" s="1563"/>
      <c r="C130" s="1563"/>
      <c r="D130" s="288"/>
      <c r="L130" s="1087"/>
      <c r="M130" s="1563"/>
      <c r="N130" s="1563"/>
      <c r="O130" s="1087"/>
      <c r="P130" s="1087"/>
      <c r="Q130" s="1087"/>
      <c r="R130" s="1087"/>
      <c r="S130" s="1563"/>
      <c r="T130" s="1087"/>
      <c r="U130" s="1087"/>
      <c r="V130" s="481"/>
      <c r="W130" s="1087"/>
      <c r="X130" s="1087"/>
      <c r="Y130" s="1087"/>
      <c r="Z130" s="1087"/>
      <c r="AA130" s="1087"/>
      <c r="AB130" s="1559"/>
      <c r="AC130" s="503"/>
      <c r="AD130" s="503"/>
      <c r="AE130" s="503"/>
      <c r="AF130" s="503"/>
      <c r="AG130" s="1568">
        <v>11</v>
      </c>
    </row>
    <row r="131" spans="1:33" s="1568" customFormat="1" ht="11.45" customHeight="1">
      <c r="A131" s="917"/>
      <c r="B131" s="1563"/>
      <c r="C131" s="1563"/>
      <c r="D131" s="288"/>
      <c r="L131" s="1087"/>
      <c r="M131" s="1563"/>
      <c r="N131" s="1563"/>
      <c r="O131" s="1087"/>
      <c r="P131" s="1087"/>
      <c r="Q131" s="1087"/>
      <c r="R131" s="1087"/>
      <c r="S131" s="1563"/>
      <c r="T131" s="1087"/>
      <c r="U131" s="1087"/>
      <c r="V131" s="481"/>
      <c r="W131" s="1087"/>
      <c r="X131" s="1087"/>
      <c r="Y131" s="1087"/>
      <c r="Z131" s="1087"/>
      <c r="AA131" s="1087"/>
      <c r="AB131" s="1559"/>
      <c r="AC131" s="503"/>
      <c r="AD131" s="503"/>
      <c r="AE131" s="503"/>
      <c r="AF131" s="503"/>
      <c r="AG131" s="1568">
        <v>11</v>
      </c>
    </row>
    <row r="132" spans="1:33" s="1568" customFormat="1" ht="11.45" customHeight="1">
      <c r="A132" s="917"/>
      <c r="B132" s="1563"/>
      <c r="C132" s="1563"/>
      <c r="D132" s="288"/>
      <c r="L132" s="1087"/>
      <c r="M132" s="1563"/>
      <c r="N132" s="1563"/>
      <c r="O132" s="1087"/>
      <c r="P132" s="1087"/>
      <c r="Q132" s="1087"/>
      <c r="R132" s="1087"/>
      <c r="S132" s="1563"/>
      <c r="T132" s="1087"/>
      <c r="U132" s="1087"/>
      <c r="V132" s="481"/>
      <c r="W132" s="1087"/>
      <c r="X132" s="1087"/>
      <c r="Y132" s="1087"/>
      <c r="Z132" s="1087"/>
      <c r="AA132" s="1087"/>
      <c r="AB132" s="1559"/>
      <c r="AC132" s="503"/>
      <c r="AD132" s="503"/>
      <c r="AE132" s="503"/>
      <c r="AF132" s="503"/>
      <c r="AG132" s="1568">
        <v>11</v>
      </c>
    </row>
    <row r="133" spans="1:33" s="1568" customFormat="1" ht="11.45" customHeight="1">
      <c r="A133" s="917"/>
      <c r="B133" s="1563"/>
      <c r="C133" s="1563"/>
      <c r="D133" s="288"/>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s="1568" customFormat="1" ht="11.45" customHeight="1">
      <c r="A196" s="917"/>
      <c r="B196" s="1563"/>
      <c r="C196" s="1563"/>
      <c r="D196" s="288"/>
      <c r="L196" s="1087"/>
      <c r="M196" s="1563"/>
      <c r="N196" s="1563"/>
      <c r="O196" s="1087"/>
      <c r="P196" s="1087"/>
      <c r="Q196" s="1087"/>
      <c r="R196" s="1087"/>
      <c r="S196" s="1563"/>
      <c r="T196" s="1087"/>
      <c r="U196" s="1087"/>
      <c r="V196" s="481"/>
      <c r="W196" s="1087"/>
      <c r="X196" s="1087"/>
      <c r="Y196" s="1087"/>
      <c r="Z196" s="1087"/>
      <c r="AA196" s="1087"/>
      <c r="AB196" s="1559"/>
      <c r="AC196" s="503"/>
      <c r="AD196" s="503"/>
      <c r="AE196" s="503"/>
      <c r="AF196" s="503"/>
      <c r="AG196" s="1568">
        <v>11</v>
      </c>
    </row>
    <row r="197" spans="1:33" s="1568" customFormat="1" ht="11.45" customHeight="1">
      <c r="A197" s="917"/>
      <c r="B197" s="1563"/>
      <c r="C197" s="1563"/>
      <c r="D197" s="288"/>
      <c r="L197" s="1087"/>
      <c r="M197" s="1563"/>
      <c r="N197" s="1563"/>
      <c r="O197" s="1087"/>
      <c r="P197" s="1087"/>
      <c r="Q197" s="1087"/>
      <c r="R197" s="1087"/>
      <c r="S197" s="1563"/>
      <c r="T197" s="1087"/>
      <c r="U197" s="1087"/>
      <c r="V197" s="481"/>
      <c r="W197" s="1087"/>
      <c r="X197" s="1087"/>
      <c r="Y197" s="1087"/>
      <c r="Z197" s="1087"/>
      <c r="AA197" s="1087"/>
      <c r="AB197" s="1559"/>
      <c r="AC197" s="503"/>
      <c r="AD197" s="503"/>
      <c r="AE197" s="503"/>
      <c r="AF197" s="503"/>
      <c r="AG197" s="1568">
        <v>11</v>
      </c>
    </row>
    <row r="198" spans="1:33" s="1568" customFormat="1" ht="11.45" customHeight="1">
      <c r="A198" s="917"/>
      <c r="B198" s="1563"/>
      <c r="C198" s="1563"/>
      <c r="D198" s="288"/>
      <c r="L198" s="1087"/>
      <c r="M198" s="1563"/>
      <c r="N198" s="1563"/>
      <c r="O198" s="1087"/>
      <c r="P198" s="1087"/>
      <c r="Q198" s="1087"/>
      <c r="R198" s="1087"/>
      <c r="S198" s="1563"/>
      <c r="T198" s="1087"/>
      <c r="U198" s="1087"/>
      <c r="V198" s="481"/>
      <c r="W198" s="1087"/>
      <c r="X198" s="1087"/>
      <c r="Y198" s="1087"/>
      <c r="Z198" s="1087"/>
      <c r="AA198" s="1087"/>
      <c r="AB198" s="1559"/>
      <c r="AC198" s="503"/>
      <c r="AD198" s="503"/>
      <c r="AE198" s="503"/>
      <c r="AF198" s="503"/>
      <c r="AG198" s="1568">
        <v>11</v>
      </c>
    </row>
    <row r="199" spans="1:33" s="1568" customFormat="1" ht="11.45" customHeight="1">
      <c r="A199" s="917"/>
      <c r="B199" s="1563"/>
      <c r="C199" s="1563"/>
      <c r="D199" s="288"/>
      <c r="L199" s="1087"/>
      <c r="M199" s="1563"/>
      <c r="N199" s="1563"/>
      <c r="O199" s="1087"/>
      <c r="P199" s="1087"/>
      <c r="Q199" s="1087"/>
      <c r="R199" s="1087"/>
      <c r="S199" s="1563"/>
      <c r="T199" s="1087"/>
      <c r="U199" s="1087"/>
      <c r="V199" s="481"/>
      <c r="W199" s="1087"/>
      <c r="X199" s="1087"/>
      <c r="Y199" s="1087"/>
      <c r="Z199" s="1087"/>
      <c r="AA199" s="1087"/>
      <c r="AB199" s="1559"/>
      <c r="AC199" s="503"/>
      <c r="AD199" s="503"/>
      <c r="AE199" s="503"/>
      <c r="AF199" s="503"/>
      <c r="AG199" s="1568">
        <v>11</v>
      </c>
    </row>
    <row r="200" spans="1:33" s="1568" customFormat="1" ht="11.45" customHeight="1">
      <c r="A200" s="917"/>
      <c r="B200" s="1563"/>
      <c r="C200" s="1563"/>
      <c r="D200" s="288"/>
      <c r="L200" s="1087"/>
      <c r="M200" s="1563"/>
      <c r="N200" s="1563"/>
      <c r="O200" s="1087"/>
      <c r="P200" s="1087"/>
      <c r="Q200" s="1087"/>
      <c r="R200" s="1087"/>
      <c r="S200" s="1563"/>
      <c r="T200" s="1087"/>
      <c r="U200" s="1087"/>
      <c r="V200" s="481"/>
      <c r="W200" s="1087"/>
      <c r="X200" s="1087"/>
      <c r="Y200" s="1087"/>
      <c r="Z200" s="1087"/>
      <c r="AA200" s="1087"/>
      <c r="AB200" s="1559"/>
      <c r="AC200" s="503"/>
      <c r="AD200" s="503"/>
      <c r="AE200" s="503"/>
      <c r="AF200" s="503"/>
      <c r="AG200" s="1568">
        <v>11</v>
      </c>
    </row>
    <row r="201" spans="1:33" s="1568" customFormat="1" ht="11.45" customHeight="1">
      <c r="A201" s="917"/>
      <c r="B201" s="1563"/>
      <c r="C201" s="1563"/>
      <c r="D201" s="288"/>
      <c r="L201" s="1087"/>
      <c r="M201" s="1563"/>
      <c r="N201" s="1563"/>
      <c r="O201" s="1087"/>
      <c r="P201" s="1087"/>
      <c r="Q201" s="1087"/>
      <c r="R201" s="1087"/>
      <c r="S201" s="1563"/>
      <c r="T201" s="1087"/>
      <c r="U201" s="1087"/>
      <c r="V201" s="481"/>
      <c r="W201" s="1087"/>
      <c r="X201" s="1087"/>
      <c r="Y201" s="1087"/>
      <c r="Z201" s="1087"/>
      <c r="AA201" s="1087"/>
      <c r="AB201" s="1559"/>
      <c r="AC201" s="503"/>
      <c r="AD201" s="503"/>
      <c r="AE201" s="503"/>
      <c r="AF201" s="503"/>
      <c r="AG201" s="1568">
        <v>11</v>
      </c>
    </row>
    <row r="202" spans="1:33" s="1568" customFormat="1" ht="11.45" customHeight="1">
      <c r="A202" s="917"/>
      <c r="B202" s="1563"/>
      <c r="C202" s="1563"/>
      <c r="D202" s="288"/>
      <c r="L202" s="1087"/>
      <c r="M202" s="1563"/>
      <c r="N202" s="1563"/>
      <c r="O202" s="1087"/>
      <c r="P202" s="1087"/>
      <c r="Q202" s="1087"/>
      <c r="R202" s="1087"/>
      <c r="S202" s="1563"/>
      <c r="T202" s="1087"/>
      <c r="U202" s="1087"/>
      <c r="V202" s="481"/>
      <c r="W202" s="1087"/>
      <c r="X202" s="1087"/>
      <c r="Y202" s="1087"/>
      <c r="Z202" s="1087"/>
      <c r="AA202" s="1087"/>
      <c r="AB202" s="1559"/>
      <c r="AC202" s="503"/>
      <c r="AD202" s="503"/>
      <c r="AE202" s="503"/>
      <c r="AF202" s="503"/>
      <c r="AG202" s="1568">
        <v>11</v>
      </c>
    </row>
    <row r="203" spans="1:33" ht="11.45" customHeight="1">
      <c r="AG203" s="1558">
        <v>11</v>
      </c>
    </row>
    <row r="204" spans="1:33" ht="11.45" customHeight="1">
      <c r="AG204" s="1558">
        <v>11</v>
      </c>
    </row>
    <row r="205" spans="1:33" ht="11.45" customHeight="1">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45" customHeight="1">
      <c r="A210" s="920"/>
      <c r="B210" s="1558"/>
      <c r="D210" s="1558"/>
      <c r="L210" s="1558"/>
      <c r="O210" s="1558"/>
      <c r="P210" s="1558"/>
      <c r="Q210" s="1558"/>
      <c r="R210" s="1558"/>
      <c r="T210" s="1558"/>
      <c r="U210" s="1558"/>
      <c r="V210" s="1558"/>
      <c r="W210" s="1558"/>
      <c r="X210" s="1558"/>
      <c r="Y210" s="1558"/>
      <c r="Z210" s="1558"/>
      <c r="AA210" s="1558"/>
      <c r="AB210" s="1558"/>
      <c r="AC210" s="1558"/>
      <c r="AD210" s="1558"/>
      <c r="AE210" s="1558"/>
      <c r="AF210" s="1558"/>
      <c r="AG210" s="1558">
        <v>11</v>
      </c>
    </row>
    <row r="211" spans="1:33" ht="11.45" customHeight="1">
      <c r="A211" s="920"/>
      <c r="B211" s="1558"/>
      <c r="D211" s="1558"/>
      <c r="L211" s="1558"/>
      <c r="O211" s="1558"/>
      <c r="P211" s="1558"/>
      <c r="Q211" s="1558"/>
      <c r="R211" s="1558"/>
      <c r="T211" s="1558"/>
      <c r="U211" s="1558"/>
      <c r="V211" s="1558"/>
      <c r="W211" s="1558"/>
      <c r="X211" s="1558"/>
      <c r="Y211" s="1558"/>
      <c r="Z211" s="1558"/>
      <c r="AA211" s="1558"/>
      <c r="AB211" s="1558"/>
      <c r="AC211" s="1558"/>
      <c r="AD211" s="1558"/>
      <c r="AE211" s="1558"/>
      <c r="AF211" s="1558"/>
      <c r="AG211" s="1558">
        <v>11</v>
      </c>
    </row>
    <row r="212" spans="1:33" ht="11.45" customHeight="1">
      <c r="A212" s="920"/>
      <c r="B212" s="1558"/>
      <c r="D212" s="1558"/>
      <c r="L212" s="1558"/>
      <c r="O212" s="1558"/>
      <c r="P212" s="1558"/>
      <c r="Q212" s="1558"/>
      <c r="R212" s="1558"/>
      <c r="T212" s="1558"/>
      <c r="U212" s="1558"/>
      <c r="V212" s="1558"/>
      <c r="W212" s="1558"/>
      <c r="X212" s="1558"/>
      <c r="Y212" s="1558"/>
      <c r="Z212" s="1558"/>
      <c r="AA212" s="1558"/>
      <c r="AB212" s="1558"/>
      <c r="AC212" s="1558"/>
      <c r="AD212" s="1558"/>
      <c r="AE212" s="1558"/>
      <c r="AF212" s="1558"/>
      <c r="AG212" s="1558">
        <v>11</v>
      </c>
    </row>
    <row r="213" spans="1:33" ht="11.45" customHeight="1">
      <c r="A213" s="920"/>
      <c r="B213" s="1558"/>
      <c r="D213" s="1558"/>
      <c r="L213" s="1558"/>
      <c r="O213" s="1558"/>
      <c r="P213" s="1558"/>
      <c r="Q213" s="1558"/>
      <c r="R213" s="1558"/>
      <c r="T213" s="1558"/>
      <c r="U213" s="1558"/>
      <c r="V213" s="1558"/>
      <c r="W213" s="1558"/>
      <c r="X213" s="1558"/>
      <c r="Y213" s="1558"/>
      <c r="Z213" s="1558"/>
      <c r="AA213" s="1558"/>
      <c r="AB213" s="1558"/>
      <c r="AC213" s="1558"/>
      <c r="AD213" s="1558"/>
      <c r="AE213" s="1558"/>
      <c r="AF213" s="1558"/>
      <c r="AG213" s="1558">
        <v>11</v>
      </c>
    </row>
    <row r="214" spans="1:33" ht="11.45" customHeight="1">
      <c r="A214" s="920"/>
      <c r="B214" s="1558"/>
      <c r="D214" s="1558"/>
      <c r="L214" s="1558"/>
      <c r="O214" s="1558"/>
      <c r="P214" s="1558"/>
      <c r="Q214" s="1558"/>
      <c r="R214" s="1558"/>
      <c r="T214" s="1558"/>
      <c r="U214" s="1558"/>
      <c r="V214" s="1558"/>
      <c r="W214" s="1558"/>
      <c r="X214" s="1558"/>
      <c r="Y214" s="1558"/>
      <c r="Z214" s="1558"/>
      <c r="AA214" s="1558"/>
      <c r="AB214" s="1558"/>
      <c r="AC214" s="1558"/>
      <c r="AD214" s="1558"/>
      <c r="AE214" s="1558"/>
      <c r="AF214" s="1558"/>
      <c r="AG214" s="1558">
        <v>11</v>
      </c>
    </row>
    <row r="215" spans="1:33" ht="11.45" customHeight="1">
      <c r="A215" s="920"/>
      <c r="B215" s="1558"/>
      <c r="D215" s="1558"/>
      <c r="L215" s="1558"/>
      <c r="O215" s="1558"/>
      <c r="P215" s="1558"/>
      <c r="Q215" s="1558"/>
      <c r="R215" s="1558"/>
      <c r="T215" s="1558"/>
      <c r="U215" s="1558"/>
      <c r="V215" s="1558"/>
      <c r="W215" s="1558"/>
      <c r="X215" s="1558"/>
      <c r="Y215" s="1558"/>
      <c r="Z215" s="1558"/>
      <c r="AA215" s="1558"/>
      <c r="AB215" s="1558"/>
      <c r="AC215" s="1558"/>
      <c r="AD215" s="1558"/>
      <c r="AE215" s="1558"/>
      <c r="AF215" s="1558"/>
      <c r="AG215" s="1558">
        <v>11</v>
      </c>
    </row>
    <row r="216" spans="1:33" ht="11.45" customHeight="1">
      <c r="A216" s="920"/>
      <c r="B216" s="1558"/>
      <c r="D216" s="1558"/>
      <c r="L216" s="1558"/>
      <c r="O216" s="1558"/>
      <c r="P216" s="1558"/>
      <c r="Q216" s="1558"/>
      <c r="R216" s="1558"/>
      <c r="T216" s="1558"/>
      <c r="U216" s="1558"/>
      <c r="V216" s="1558"/>
      <c r="W216" s="1558"/>
      <c r="X216" s="1558"/>
      <c r="Y216" s="1558"/>
      <c r="Z216" s="1558"/>
      <c r="AA216" s="1558"/>
      <c r="AB216" s="1558"/>
      <c r="AC216" s="1558"/>
      <c r="AD216" s="1558"/>
      <c r="AE216" s="1558"/>
      <c r="AF216" s="1558"/>
      <c r="AG216" s="1558">
        <v>11</v>
      </c>
    </row>
    <row r="217" spans="1:33" ht="11.25" hidden="1" customHeight="1">
      <c r="A217" s="917" t="s">
        <v>81</v>
      </c>
      <c r="B217" s="1087">
        <v>0</v>
      </c>
      <c r="C217" s="1563">
        <v>0</v>
      </c>
      <c r="D217" s="1562">
        <v>3</v>
      </c>
      <c r="E217" s="1558">
        <v>7</v>
      </c>
      <c r="F217" s="1558">
        <v>56</v>
      </c>
      <c r="G217" s="1558">
        <v>10</v>
      </c>
      <c r="H217" s="1558">
        <v>0</v>
      </c>
      <c r="I217" s="1558">
        <v>40</v>
      </c>
      <c r="J217" s="1562">
        <v>0</v>
      </c>
      <c r="K217" s="1558">
        <v>102</v>
      </c>
      <c r="L217" s="1087">
        <v>9</v>
      </c>
      <c r="M217" s="1563">
        <v>5</v>
      </c>
      <c r="N217" s="1563">
        <v>3</v>
      </c>
      <c r="O217" s="1087">
        <v>3</v>
      </c>
      <c r="P217" s="1087">
        <v>3</v>
      </c>
      <c r="Q217" s="1087">
        <v>3</v>
      </c>
      <c r="R217" s="1087">
        <v>3</v>
      </c>
      <c r="S217" s="1563">
        <v>10</v>
      </c>
      <c r="T217" s="1087">
        <v>34</v>
      </c>
      <c r="U217" s="1087">
        <v>9</v>
      </c>
      <c r="V217" s="481">
        <v>8</v>
      </c>
      <c r="W217" s="1087">
        <v>8</v>
      </c>
      <c r="X217" s="1087">
        <v>8</v>
      </c>
      <c r="Y217" s="1087">
        <v>8</v>
      </c>
      <c r="Z217" s="1087">
        <v>8</v>
      </c>
      <c r="AA217" s="1087">
        <v>8</v>
      </c>
      <c r="AB217" s="1559">
        <v>8</v>
      </c>
      <c r="AC217" s="1559">
        <v>8</v>
      </c>
      <c r="AD217" s="1559">
        <v>8</v>
      </c>
      <c r="AE217" s="1559">
        <v>8</v>
      </c>
      <c r="AF217" s="1559">
        <v>8</v>
      </c>
      <c r="AG217" s="1558">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40.7109375" style="1562" customWidth="1"/>
    <col min="11" max="11" width="102" style="1562" customWidth="1"/>
    <col min="12" max="12" width="9" style="1293" customWidth="1"/>
    <col min="13" max="13" width="5" style="1569" customWidth="1"/>
    <col min="14" max="14" width="3" style="1569" customWidth="1"/>
    <col min="15" max="18" width="3" style="1293" customWidth="1"/>
    <col min="19" max="19" width="10" style="1569" customWidth="1"/>
    <col min="20" max="20" width="34" style="1293" customWidth="1"/>
    <col min="21" max="21" width="9" style="1293" customWidth="1"/>
    <col min="22" max="22" width="8" style="673" customWidth="1"/>
    <col min="23" max="27" width="8" style="1293" customWidth="1"/>
    <col min="28" max="32" width="8" style="1559" customWidth="1"/>
    <col min="33" max="33" width="9.140625" style="1562" hidden="1"/>
  </cols>
  <sheetData>
    <row r="1" spans="1:33" s="1293" customFormat="1" ht="22.5" hidden="1" customHeight="1">
      <c r="A1" s="917"/>
      <c r="C1" s="1563"/>
      <c r="D1" s="474"/>
      <c r="H1" s="1087">
        <v>4</v>
      </c>
      <c r="I1" s="1087">
        <v>4</v>
      </c>
      <c r="J1" s="1293">
        <v>4</v>
      </c>
      <c r="M1" s="1563"/>
      <c r="N1" s="1563"/>
      <c r="S1" s="1563"/>
      <c r="AG1" s="1087" t="s">
        <v>14</v>
      </c>
    </row>
    <row r="2" spans="1:33" s="1293" customFormat="1" ht="22.5" hidden="1" customHeight="1">
      <c r="A2" s="917"/>
      <c r="C2" s="1563"/>
      <c r="D2" s="475"/>
      <c r="E2" s="1585"/>
      <c r="F2" s="477"/>
      <c r="G2" s="1584" t="s">
        <v>554</v>
      </c>
      <c r="H2" s="478"/>
      <c r="I2" s="478"/>
      <c r="J2" s="688"/>
      <c r="K2" s="479" t="s">
        <v>557</v>
      </c>
      <c r="L2" s="480"/>
      <c r="M2" s="1563"/>
      <c r="N2" s="1563"/>
      <c r="S2" s="1563"/>
      <c r="V2" s="481"/>
      <c r="AB2" s="1559"/>
      <c r="AC2" s="1559"/>
      <c r="AD2" s="1559"/>
      <c r="AE2" s="1559"/>
      <c r="AF2" s="1559"/>
      <c r="AG2" s="1087">
        <v>0</v>
      </c>
    </row>
    <row r="3" spans="1:33" ht="11.25" hidden="1" customHeight="1">
      <c r="AG3" s="1558">
        <v>0</v>
      </c>
    </row>
    <row r="4" spans="1:33" s="1559" customFormat="1" ht="11.25" hidden="1" customHeight="1">
      <c r="A4" s="917"/>
      <c r="B4" s="1087"/>
      <c r="C4" s="1563"/>
      <c r="D4" s="299"/>
      <c r="K4" s="1559">
        <v>4</v>
      </c>
      <c r="L4" s="1087"/>
      <c r="M4" s="1563"/>
      <c r="N4" s="1563"/>
      <c r="O4" s="1087"/>
      <c r="P4" s="1087"/>
      <c r="Q4" s="1087"/>
      <c r="R4" s="1087"/>
      <c r="S4" s="1563"/>
      <c r="T4" s="1087"/>
      <c r="U4" s="1087"/>
      <c r="V4" s="481"/>
      <c r="W4" s="1087"/>
      <c r="X4" s="1087"/>
      <c r="Y4" s="1087"/>
      <c r="Z4" s="1087"/>
      <c r="AA4" s="1087"/>
      <c r="AG4" s="1559">
        <v>0</v>
      </c>
    </row>
    <row r="5" spans="1:33" ht="11.45" customHeight="1">
      <c r="AG5" s="1558">
        <v>11</v>
      </c>
    </row>
    <row r="6" spans="1:33" ht="33.75" customHeight="1">
      <c r="E6" s="2200" t="s">
        <v>777</v>
      </c>
      <c r="F6" s="2200"/>
      <c r="G6" s="2200"/>
      <c r="H6" s="2200"/>
      <c r="I6" s="2200"/>
      <c r="J6" s="2004"/>
      <c r="K6" s="493"/>
      <c r="AG6" s="1558">
        <v>32</v>
      </c>
    </row>
    <row r="7" spans="1:33" ht="25.15" customHeight="1">
      <c r="E7" s="2172" t="str">
        <f>IF(org=0,"Не определено",org)</f>
        <v>МУП "Михайловское водопроводно-канализационное хозяйство"</v>
      </c>
      <c r="F7" s="2172"/>
      <c r="G7" s="2172"/>
      <c r="H7" s="2172"/>
      <c r="I7" s="2172"/>
      <c r="J7" s="2005"/>
      <c r="AG7" s="1558">
        <v>24</v>
      </c>
    </row>
    <row r="8" spans="1:33" ht="11.45" customHeight="1">
      <c r="E8" s="1062"/>
      <c r="F8" s="1062"/>
      <c r="G8" s="1062"/>
      <c r="H8" s="1062"/>
      <c r="I8" s="1062"/>
      <c r="J8" s="1063" t="s">
        <v>22</v>
      </c>
      <c r="AG8" s="1558">
        <v>11</v>
      </c>
    </row>
    <row r="9" spans="1:33" s="1569" customFormat="1" ht="1.1499999999999999" customHeight="1">
      <c r="A9" s="1094"/>
      <c r="H9" s="819"/>
      <c r="I9" s="819" t="s">
        <v>117</v>
      </c>
      <c r="J9" s="819" t="s">
        <v>122</v>
      </c>
      <c r="AG9" s="1563">
        <v>1</v>
      </c>
    </row>
    <row r="10" spans="1:33" ht="11.45" customHeight="1">
      <c r="E10" s="648"/>
      <c r="F10" s="2306" t="s">
        <v>104</v>
      </c>
      <c r="G10" s="2307"/>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водоснабжения</v>
      </c>
      <c r="J10" s="2015" t="str">
        <f>IF(J9="","",INDEX(DIFFERENTIATION_UNMERGE_VD,MATCH(J9,DIFFERENTIATION_ID_DIFF,0)))</f>
        <v>Подключение (технологическое присоединение) к централизованной системе водоснабжения</v>
      </c>
      <c r="K10" s="2091"/>
      <c r="AG10" s="1558">
        <v>11</v>
      </c>
    </row>
    <row r="11" spans="1:33" ht="11.45" customHeight="1">
      <c r="E11" s="648"/>
      <c r="F11" s="2306" t="s">
        <v>566</v>
      </c>
      <c r="G11" s="2307"/>
      <c r="H11" s="1586" t="str">
        <f>IF(H9="","",INDEX(DIFFERENTIATION_UNMERGE_AREA,MATCH(H9,DIFFERENTIATION_ID_DIFF,0)))</f>
        <v/>
      </c>
      <c r="I11" s="1586" t="str">
        <f>IF(I9="","",INDEX(DIFFERENTIATION_UNMERGE_AREA,MATCH(I9,DIFFERENTIATION_ID_DIFF,0)))</f>
        <v>без дифференциации</v>
      </c>
      <c r="J11" s="2015" t="str">
        <f>IF(J9="","",INDEX(DIFFERENTIATION_UNMERGE_AREA,MATCH(J9,DIFFERENTIATION_ID_DIFF,0)))</f>
        <v>без дифференциации</v>
      </c>
      <c r="K11" s="2091"/>
      <c r="AG11" s="1558">
        <v>11</v>
      </c>
    </row>
    <row r="12" spans="1:33" ht="11.25" hidden="1" customHeight="1">
      <c r="E12" s="1589"/>
      <c r="F12" s="2327" t="s">
        <v>567</v>
      </c>
      <c r="G12" s="2328"/>
      <c r="H12" s="1590" t="str">
        <f>IF(H9="","",INDEX(DIFFERENTIATION_UNMERGE_SYSTEM,MATCH(H9,DIFFERENTIATION_ID_DIFF,0)))</f>
        <v/>
      </c>
      <c r="I12" s="1590" t="str">
        <f>IF(I9="","",INDEX(DIFFERENTIATION_UNMERGE_SYSTEM,MATCH(I9,DIFFERENTIATION_ID_DIFF,0)))</f>
        <v>Централизованная система водоснабжения (питьевая вода)</v>
      </c>
      <c r="J12" s="1590" t="str">
        <f>IF(J9="","",INDEX(DIFFERENTIATION_UNMERGE_SYSTEM,MATCH(J9,DIFFERENTIATION_ID_DIFF,0)))</f>
        <v>Централизованная система водоснабжения (техническая вода)</v>
      </c>
      <c r="K12" s="2091"/>
      <c r="AG12" s="1558">
        <v>0</v>
      </c>
    </row>
    <row r="13" spans="1:33" ht="11.45" customHeight="1">
      <c r="E13" s="2308" t="s">
        <v>302</v>
      </c>
      <c r="F13" s="2309"/>
      <c r="G13" s="2309"/>
      <c r="H13" s="1583"/>
      <c r="I13" s="1583"/>
      <c r="J13" s="2013"/>
      <c r="K13" s="2091"/>
      <c r="AG13" s="1558">
        <v>11</v>
      </c>
    </row>
    <row r="14" spans="1:33" ht="24" customHeight="1">
      <c r="E14" s="1584" t="s">
        <v>87</v>
      </c>
      <c r="F14" s="1587" t="s">
        <v>304</v>
      </c>
      <c r="G14" s="1587" t="s">
        <v>568</v>
      </c>
      <c r="H14" s="1587" t="s">
        <v>305</v>
      </c>
      <c r="I14" s="1587" t="s">
        <v>305</v>
      </c>
      <c r="J14" s="2011" t="s">
        <v>305</v>
      </c>
      <c r="K14" s="2091"/>
      <c r="AG14" s="1558">
        <v>23</v>
      </c>
    </row>
    <row r="15" spans="1:33" ht="19.899999999999999" customHeight="1">
      <c r="D15" s="1565"/>
      <c r="E15" s="1557" t="s">
        <v>108</v>
      </c>
      <c r="F15" s="644" t="s">
        <v>778</v>
      </c>
      <c r="G15" s="1584" t="s">
        <v>554</v>
      </c>
      <c r="H15" s="494"/>
      <c r="I15" s="494"/>
      <c r="J15" s="494"/>
      <c r="K15" s="226" t="s">
        <v>779</v>
      </c>
      <c r="L15" s="480" t="s">
        <v>633</v>
      </c>
      <c r="AG15" s="1558">
        <v>19</v>
      </c>
    </row>
    <row r="16" spans="1:33" ht="24" customHeight="1">
      <c r="D16" s="1565"/>
      <c r="E16" s="1557" t="s">
        <v>109</v>
      </c>
      <c r="F16" s="1592" t="s">
        <v>780</v>
      </c>
      <c r="G16" s="1584" t="s">
        <v>554</v>
      </c>
      <c r="H16" s="495">
        <f>SUM(H17,H20:H27)</f>
        <v>0</v>
      </c>
      <c r="I16" s="495">
        <f>SUM(I17,I20:I27)</f>
        <v>0</v>
      </c>
      <c r="J16" s="495">
        <f>SUM(J17,J20:J27)</f>
        <v>0</v>
      </c>
      <c r="K16" s="226" t="s">
        <v>781</v>
      </c>
      <c r="L16" s="480" t="s">
        <v>633</v>
      </c>
      <c r="AG16" s="1558">
        <v>23</v>
      </c>
    </row>
    <row r="17" spans="1:33" ht="35.65" customHeight="1">
      <c r="D17" s="1565"/>
      <c r="E17" s="1591" t="s">
        <v>711</v>
      </c>
      <c r="F17" s="1594" t="s">
        <v>782</v>
      </c>
      <c r="G17" s="1581" t="s">
        <v>554</v>
      </c>
      <c r="H17" s="494"/>
      <c r="I17" s="494"/>
      <c r="J17" s="494"/>
      <c r="K17" s="226" t="s">
        <v>783</v>
      </c>
      <c r="L17" s="480"/>
      <c r="AG17" s="1558">
        <v>34</v>
      </c>
    </row>
    <row r="18" spans="1:33" ht="19.899999999999999" customHeight="1">
      <c r="D18" s="1565"/>
      <c r="E18" s="1591" t="s">
        <v>714</v>
      </c>
      <c r="F18" s="1595" t="s">
        <v>784</v>
      </c>
      <c r="G18" s="1581" t="s">
        <v>554</v>
      </c>
      <c r="H18" s="494"/>
      <c r="I18" s="494"/>
      <c r="J18" s="494"/>
      <c r="K18" s="226"/>
      <c r="L18" s="480"/>
      <c r="AG18" s="1558">
        <v>19</v>
      </c>
    </row>
    <row r="19" spans="1:33" ht="24" customHeight="1">
      <c r="D19" s="1565"/>
      <c r="E19" s="1591" t="s">
        <v>717</v>
      </c>
      <c r="F19" s="1595" t="s">
        <v>785</v>
      </c>
      <c r="G19" s="1581" t="s">
        <v>554</v>
      </c>
      <c r="H19" s="494"/>
      <c r="I19" s="494"/>
      <c r="J19" s="494"/>
      <c r="K19" s="226"/>
      <c r="L19" s="480"/>
      <c r="AG19" s="1558">
        <v>23</v>
      </c>
    </row>
    <row r="20" spans="1:33" ht="35.65" customHeight="1">
      <c r="D20" s="1565"/>
      <c r="E20" s="1591" t="s">
        <v>309</v>
      </c>
      <c r="F20" s="1594" t="s">
        <v>786</v>
      </c>
      <c r="G20" s="1581" t="s">
        <v>554</v>
      </c>
      <c r="H20" s="494"/>
      <c r="I20" s="494"/>
      <c r="J20" s="494"/>
      <c r="K20" s="226"/>
      <c r="L20" s="480"/>
      <c r="AG20" s="1558">
        <v>34</v>
      </c>
    </row>
    <row r="21" spans="1:33" ht="48.2" customHeight="1">
      <c r="D21" s="1565"/>
      <c r="E21" s="1591" t="s">
        <v>312</v>
      </c>
      <c r="F21" s="1594" t="s">
        <v>787</v>
      </c>
      <c r="G21" s="1581" t="s">
        <v>554</v>
      </c>
      <c r="H21" s="494"/>
      <c r="I21" s="494"/>
      <c r="J21" s="494"/>
      <c r="K21" s="226"/>
      <c r="L21" s="480"/>
      <c r="AG21" s="1558">
        <v>46</v>
      </c>
    </row>
    <row r="22" spans="1:33" ht="60" customHeight="1">
      <c r="D22" s="1565"/>
      <c r="E22" s="1591" t="s">
        <v>731</v>
      </c>
      <c r="F22" s="1594" t="s">
        <v>788</v>
      </c>
      <c r="G22" s="1581" t="s">
        <v>554</v>
      </c>
      <c r="H22" s="494"/>
      <c r="I22" s="494"/>
      <c r="J22" s="494"/>
      <c r="K22" s="226"/>
      <c r="L22" s="480"/>
      <c r="AG22" s="1558">
        <v>57</v>
      </c>
    </row>
    <row r="23" spans="1:33" ht="35.65" customHeight="1">
      <c r="D23" s="1565"/>
      <c r="E23" s="1591" t="s">
        <v>738</v>
      </c>
      <c r="F23" s="1594" t="s">
        <v>789</v>
      </c>
      <c r="G23" s="1581" t="s">
        <v>554</v>
      </c>
      <c r="H23" s="494"/>
      <c r="I23" s="494"/>
      <c r="J23" s="494"/>
      <c r="K23" s="226"/>
      <c r="L23" s="480"/>
      <c r="AG23" s="1558">
        <v>34</v>
      </c>
    </row>
    <row r="24" spans="1:33" ht="35.65" customHeight="1">
      <c r="D24" s="1565"/>
      <c r="E24" s="1591" t="s">
        <v>740</v>
      </c>
      <c r="F24" s="1594" t="s">
        <v>790</v>
      </c>
      <c r="G24" s="1581" t="s">
        <v>554</v>
      </c>
      <c r="H24" s="494"/>
      <c r="I24" s="494"/>
      <c r="J24" s="494"/>
      <c r="K24" s="226"/>
      <c r="L24" s="480"/>
      <c r="AG24" s="1558">
        <v>34</v>
      </c>
    </row>
    <row r="25" spans="1:33" ht="24" customHeight="1">
      <c r="D25" s="1565"/>
      <c r="E25" s="1591" t="s">
        <v>742</v>
      </c>
      <c r="F25" s="1594" t="s">
        <v>791</v>
      </c>
      <c r="G25" s="1581" t="s">
        <v>554</v>
      </c>
      <c r="H25" s="494"/>
      <c r="I25" s="494"/>
      <c r="J25" s="494"/>
      <c r="K25" s="226"/>
      <c r="L25" s="480"/>
      <c r="AG25" s="1558">
        <v>23</v>
      </c>
    </row>
    <row r="26" spans="1:33" ht="76.5" customHeight="1">
      <c r="D26" s="1565"/>
      <c r="E26" s="1591" t="s">
        <v>744</v>
      </c>
      <c r="F26" s="1594" t="s">
        <v>792</v>
      </c>
      <c r="G26" s="1581" t="s">
        <v>554</v>
      </c>
      <c r="H26" s="494"/>
      <c r="I26" s="494"/>
      <c r="J26" s="494"/>
      <c r="K26" s="226"/>
      <c r="L26" s="480"/>
      <c r="AG26" s="1558">
        <v>73</v>
      </c>
    </row>
    <row r="27" spans="1:33" s="1293" customFormat="1" ht="35.65" customHeight="1">
      <c r="A27" s="917"/>
      <c r="C27" s="1563"/>
      <c r="D27" s="1565"/>
      <c r="E27" s="1556" t="s">
        <v>748</v>
      </c>
      <c r="F27" s="1555" t="s">
        <v>793</v>
      </c>
      <c r="G27" s="1582" t="s">
        <v>554</v>
      </c>
      <c r="H27" s="516">
        <f>SUM(H28:H29)</f>
        <v>0</v>
      </c>
      <c r="I27" s="516">
        <f>SUM(I28:I29)</f>
        <v>0</v>
      </c>
      <c r="J27" s="516">
        <f>SUM(J28:J29)</f>
        <v>0</v>
      </c>
      <c r="K27" s="226" t="s">
        <v>746</v>
      </c>
      <c r="L27" s="480"/>
      <c r="M27" s="1563"/>
      <c r="N27" s="1563"/>
      <c r="S27" s="1563"/>
      <c r="V27" s="481"/>
      <c r="AB27" s="1559"/>
      <c r="AC27" s="1559"/>
      <c r="AD27" s="1559"/>
      <c r="AE27" s="1559"/>
      <c r="AF27" s="1559"/>
      <c r="AG27" s="1087">
        <v>34</v>
      </c>
    </row>
    <row r="28" spans="1:33" s="1569" customFormat="1" ht="1.1499999999999999" customHeight="1">
      <c r="A28" s="1094"/>
      <c r="D28" s="485"/>
      <c r="E28" s="733" t="str">
        <f>E27&amp;".0"</f>
        <v>2.9.0</v>
      </c>
      <c r="F28" s="921"/>
      <c r="G28" s="488"/>
      <c r="H28" s="922"/>
      <c r="I28" s="922"/>
      <c r="J28" s="922"/>
      <c r="K28" s="923"/>
      <c r="AG28" s="1563">
        <v>1</v>
      </c>
    </row>
    <row r="29" spans="1:33" s="1293" customFormat="1" ht="19.899999999999999" customHeight="1">
      <c r="A29" s="917"/>
      <c r="C29" s="1563"/>
      <c r="D29" s="1560"/>
      <c r="E29" s="507"/>
      <c r="F29" s="1593" t="s">
        <v>579</v>
      </c>
      <c r="G29" s="509"/>
      <c r="H29" s="510"/>
      <c r="I29" s="510"/>
      <c r="J29" s="2045"/>
      <c r="K29" s="238" t="s">
        <v>747</v>
      </c>
      <c r="L29" s="480"/>
      <c r="M29" s="1563"/>
      <c r="N29" s="1563"/>
      <c r="S29" s="1563"/>
      <c r="V29" s="481"/>
      <c r="AB29" s="1559"/>
      <c r="AC29" s="1559"/>
      <c r="AD29" s="1559"/>
      <c r="AE29" s="1559"/>
      <c r="AF29" s="1559"/>
      <c r="AG29" s="1087">
        <v>19</v>
      </c>
    </row>
    <row r="30" spans="1:33" s="1293" customFormat="1" ht="24" customHeight="1">
      <c r="A30" s="917"/>
      <c r="C30" s="1563"/>
      <c r="D30" s="1565"/>
      <c r="E30" s="1591" t="s">
        <v>89</v>
      </c>
      <c r="F30" s="1588" t="s">
        <v>794</v>
      </c>
      <c r="G30" s="1581" t="s">
        <v>554</v>
      </c>
      <c r="H30" s="494"/>
      <c r="I30" s="494"/>
      <c r="J30" s="494"/>
      <c r="K30" s="226"/>
      <c r="L30" s="480"/>
      <c r="M30" s="1563"/>
      <c r="N30" s="1563"/>
      <c r="S30" s="1563"/>
      <c r="V30" s="481"/>
      <c r="AB30" s="1559"/>
      <c r="AC30" s="1559"/>
      <c r="AD30" s="1559"/>
      <c r="AE30" s="1559"/>
      <c r="AF30" s="1559"/>
      <c r="AG30" s="1087">
        <v>23</v>
      </c>
    </row>
    <row r="31" spans="1:33" s="1293" customFormat="1" ht="35.65" customHeight="1">
      <c r="A31" s="917"/>
      <c r="C31" s="1563"/>
      <c r="D31" s="512"/>
      <c r="E31" s="1591" t="s">
        <v>90</v>
      </c>
      <c r="F31" s="1588" t="s">
        <v>795</v>
      </c>
      <c r="G31" s="1581" t="s">
        <v>554</v>
      </c>
      <c r="H31" s="494"/>
      <c r="I31" s="494"/>
      <c r="J31" s="494"/>
      <c r="K31" s="226" t="s">
        <v>796</v>
      </c>
      <c r="L31" s="480"/>
      <c r="M31" s="1563"/>
      <c r="N31" s="1563"/>
      <c r="S31" s="1563"/>
      <c r="V31" s="481"/>
      <c r="AB31" s="1559"/>
      <c r="AC31" s="1559"/>
      <c r="AD31" s="1559"/>
      <c r="AE31" s="1559"/>
      <c r="AF31" s="1559"/>
      <c r="AG31" s="1087">
        <v>34</v>
      </c>
    </row>
    <row r="32" spans="1:33" s="1293" customFormat="1" ht="24" customHeight="1">
      <c r="A32" s="917"/>
      <c r="C32" s="1563"/>
      <c r="D32" s="1565"/>
      <c r="E32" s="1591" t="s">
        <v>756</v>
      </c>
      <c r="F32" s="627" t="s">
        <v>760</v>
      </c>
      <c r="G32" s="1581" t="s">
        <v>554</v>
      </c>
      <c r="H32" s="494"/>
      <c r="I32" s="494"/>
      <c r="J32" s="494"/>
      <c r="K32" s="226" t="s">
        <v>797</v>
      </c>
      <c r="L32" s="480"/>
      <c r="M32" s="1563"/>
      <c r="N32" s="1563"/>
      <c r="S32" s="1563"/>
      <c r="V32" s="481"/>
      <c r="AB32" s="1559"/>
      <c r="AC32" s="1559"/>
      <c r="AD32" s="1559"/>
      <c r="AE32" s="1559"/>
      <c r="AF32" s="1559"/>
      <c r="AG32" s="1087">
        <v>23</v>
      </c>
    </row>
    <row r="33" spans="1:33" s="1293" customFormat="1" ht="24" customHeight="1">
      <c r="A33" s="917"/>
      <c r="C33" s="1563"/>
      <c r="D33" s="1565"/>
      <c r="E33" s="1591" t="s">
        <v>798</v>
      </c>
      <c r="F33" s="627" t="s">
        <v>799</v>
      </c>
      <c r="G33" s="1581" t="s">
        <v>554</v>
      </c>
      <c r="H33" s="494"/>
      <c r="I33" s="494"/>
      <c r="J33" s="494"/>
      <c r="K33" s="226" t="s">
        <v>800</v>
      </c>
      <c r="L33" s="480"/>
      <c r="M33" s="1563"/>
      <c r="N33" s="1563"/>
      <c r="S33" s="1563"/>
      <c r="V33" s="481"/>
      <c r="AB33" s="1559"/>
      <c r="AC33" s="1559"/>
      <c r="AD33" s="1559"/>
      <c r="AE33" s="1559"/>
      <c r="AF33" s="1559"/>
      <c r="AG33" s="1087">
        <v>23</v>
      </c>
    </row>
    <row r="34" spans="1:33" s="1293" customFormat="1" ht="24" customHeight="1">
      <c r="A34" s="917"/>
      <c r="C34" s="1563"/>
      <c r="D34" s="1565"/>
      <c r="E34" s="1591" t="s">
        <v>801</v>
      </c>
      <c r="F34" s="627" t="s">
        <v>766</v>
      </c>
      <c r="G34" s="1581" t="s">
        <v>554</v>
      </c>
      <c r="H34" s="494"/>
      <c r="I34" s="494"/>
      <c r="J34" s="494"/>
      <c r="K34" s="226" t="s">
        <v>802</v>
      </c>
      <c r="L34" s="480"/>
      <c r="M34" s="1563"/>
      <c r="N34" s="1563"/>
      <c r="S34" s="1563"/>
      <c r="V34" s="481"/>
      <c r="AB34" s="1559"/>
      <c r="AC34" s="1559"/>
      <c r="AD34" s="1559"/>
      <c r="AE34" s="1559"/>
      <c r="AF34" s="1559"/>
      <c r="AG34" s="1087">
        <v>23</v>
      </c>
    </row>
    <row r="35" spans="1:33" s="1293" customFormat="1" ht="35.65" customHeight="1">
      <c r="A35" s="917"/>
      <c r="C35" s="1563" t="s">
        <v>590</v>
      </c>
      <c r="D35" s="1565"/>
      <c r="E35" s="1591" t="s">
        <v>110</v>
      </c>
      <c r="F35" s="1588" t="s">
        <v>632</v>
      </c>
      <c r="G35" s="1584" t="s">
        <v>308</v>
      </c>
      <c r="H35" s="338"/>
      <c r="I35" s="338"/>
      <c r="J35" s="749"/>
      <c r="K35" s="226" t="s">
        <v>803</v>
      </c>
      <c r="L35" s="480"/>
      <c r="M35" s="1563"/>
      <c r="N35" s="1563"/>
      <c r="S35" s="1563"/>
      <c r="V35" s="481"/>
      <c r="AB35" s="1559"/>
      <c r="AC35" s="1559"/>
      <c r="AD35" s="1559"/>
      <c r="AE35" s="1559"/>
      <c r="AF35" s="1559"/>
      <c r="AG35" s="1087">
        <v>34</v>
      </c>
    </row>
    <row r="36" spans="1:33" s="1293" customFormat="1" ht="35.65" customHeight="1">
      <c r="A36" s="917"/>
      <c r="C36" s="1563"/>
      <c r="D36" s="1565"/>
      <c r="E36" s="1591" t="s">
        <v>91</v>
      </c>
      <c r="F36" s="1588" t="s">
        <v>804</v>
      </c>
      <c r="G36" s="1581" t="s">
        <v>771</v>
      </c>
      <c r="H36" s="482"/>
      <c r="I36" s="482"/>
      <c r="J36" s="482"/>
      <c r="K36" s="226" t="s">
        <v>772</v>
      </c>
      <c r="L36" s="480"/>
      <c r="M36" s="1563"/>
      <c r="N36" s="1563"/>
      <c r="S36" s="1563"/>
      <c r="V36" s="481"/>
      <c r="AB36" s="1559"/>
      <c r="AC36" s="1559"/>
      <c r="AD36" s="1559"/>
      <c r="AE36" s="1559"/>
      <c r="AF36" s="1559"/>
      <c r="AG36" s="1087">
        <v>34</v>
      </c>
    </row>
    <row r="37" spans="1:33" s="1293" customFormat="1" ht="24" customHeight="1">
      <c r="A37" s="917"/>
      <c r="C37" s="1563"/>
      <c r="D37" s="1565"/>
      <c r="E37" s="1591" t="s">
        <v>92</v>
      </c>
      <c r="F37" s="1588" t="s">
        <v>805</v>
      </c>
      <c r="G37" s="1581" t="s">
        <v>774</v>
      </c>
      <c r="H37" s="482"/>
      <c r="I37" s="482"/>
      <c r="J37" s="482"/>
      <c r="K37" s="226" t="s">
        <v>775</v>
      </c>
      <c r="L37" s="480"/>
      <c r="M37" s="1563"/>
      <c r="N37" s="1563"/>
      <c r="S37" s="1563"/>
      <c r="V37" s="481"/>
      <c r="AB37" s="1559"/>
      <c r="AC37" s="1559"/>
      <c r="AD37" s="1559"/>
      <c r="AE37" s="1559"/>
      <c r="AF37" s="1559"/>
      <c r="AG37" s="1087">
        <v>23</v>
      </c>
    </row>
    <row r="38" spans="1:33" ht="11.45" customHeight="1">
      <c r="D38" s="1565"/>
      <c r="AG38" s="1558">
        <v>11</v>
      </c>
    </row>
    <row r="39" spans="1:33" ht="27.4" customHeight="1">
      <c r="D39" s="1565"/>
      <c r="E39" s="1180" t="s">
        <v>806</v>
      </c>
      <c r="F39" s="2218" t="s">
        <v>807</v>
      </c>
      <c r="G39" s="2218"/>
      <c r="H39" s="306"/>
      <c r="I39" s="306"/>
      <c r="J39" s="1614"/>
      <c r="K39" s="306"/>
      <c r="AG39" s="1558">
        <v>26</v>
      </c>
    </row>
    <row r="40" spans="1:33" s="1568" customFormat="1" ht="39.75" customHeight="1">
      <c r="A40" s="917"/>
      <c r="B40" s="1563"/>
      <c r="C40" s="1563"/>
      <c r="D40" s="288"/>
      <c r="F40" s="2218" t="s">
        <v>808</v>
      </c>
      <c r="G40" s="2218"/>
      <c r="H40" s="306"/>
      <c r="I40" s="306"/>
      <c r="J40" s="1614"/>
      <c r="K40" s="306"/>
      <c r="L40" s="1087"/>
      <c r="M40" s="1563"/>
      <c r="N40" s="1563"/>
      <c r="O40" s="1087"/>
      <c r="P40" s="1087"/>
      <c r="Q40" s="1087"/>
      <c r="R40" s="1087"/>
      <c r="S40" s="1563"/>
      <c r="T40" s="1087"/>
      <c r="U40" s="1087"/>
      <c r="V40" s="481"/>
      <c r="W40" s="1087"/>
      <c r="X40" s="1087"/>
      <c r="Y40" s="1087"/>
      <c r="Z40" s="1087"/>
      <c r="AA40" s="1087"/>
      <c r="AB40" s="1559"/>
      <c r="AC40" s="503"/>
      <c r="AD40" s="503"/>
      <c r="AE40" s="503"/>
      <c r="AF40" s="503"/>
      <c r="AG40" s="1568">
        <v>38</v>
      </c>
    </row>
    <row r="41" spans="1:33" s="1568" customFormat="1" ht="11.45" customHeight="1">
      <c r="A41" s="917"/>
      <c r="B41" s="1563"/>
      <c r="C41" s="1563"/>
      <c r="D41" s="288"/>
      <c r="L41" s="1087"/>
      <c r="M41" s="1563"/>
      <c r="N41" s="1563"/>
      <c r="O41" s="1087"/>
      <c r="P41" s="1087"/>
      <c r="Q41" s="1087"/>
      <c r="R41" s="1087"/>
      <c r="S41" s="1563"/>
      <c r="T41" s="1087"/>
      <c r="U41" s="1087"/>
      <c r="V41" s="481"/>
      <c r="W41" s="1087"/>
      <c r="X41" s="1087"/>
      <c r="Y41" s="1087"/>
      <c r="Z41" s="1087"/>
      <c r="AA41" s="1087"/>
      <c r="AB41" s="1559"/>
      <c r="AC41" s="503"/>
      <c r="AD41" s="503"/>
      <c r="AE41" s="503"/>
      <c r="AF41" s="503"/>
      <c r="AG41" s="1568">
        <v>11</v>
      </c>
    </row>
    <row r="42" spans="1:33" s="1568" customFormat="1" ht="11.45" customHeight="1">
      <c r="A42" s="917"/>
      <c r="B42" s="1563"/>
      <c r="C42" s="1563"/>
      <c r="D42" s="288"/>
      <c r="L42" s="1087"/>
      <c r="M42" s="1563"/>
      <c r="N42" s="1563"/>
      <c r="O42" s="1087"/>
      <c r="P42" s="1087"/>
      <c r="Q42" s="1087"/>
      <c r="R42" s="1087"/>
      <c r="S42" s="1563"/>
      <c r="T42" s="1087"/>
      <c r="U42" s="1087"/>
      <c r="V42" s="481"/>
      <c r="W42" s="1087"/>
      <c r="X42" s="1087"/>
      <c r="Y42" s="1087"/>
      <c r="Z42" s="1087"/>
      <c r="AA42" s="1087"/>
      <c r="AB42" s="1559"/>
      <c r="AC42" s="503"/>
      <c r="AD42" s="503"/>
      <c r="AE42" s="503"/>
      <c r="AF42" s="503"/>
      <c r="AG42" s="1568">
        <v>11</v>
      </c>
    </row>
    <row r="43" spans="1:33" s="1568" customFormat="1" ht="11.45" customHeight="1">
      <c r="A43" s="917"/>
      <c r="B43" s="1563"/>
      <c r="C43" s="1563"/>
      <c r="D43" s="288"/>
      <c r="H43" s="503"/>
      <c r="I43" s="503"/>
      <c r="J43" s="559"/>
      <c r="L43" s="1087"/>
      <c r="M43" s="1563"/>
      <c r="N43" s="1563"/>
      <c r="O43" s="1087"/>
      <c r="P43" s="1087"/>
      <c r="Q43" s="1087"/>
      <c r="R43" s="1087"/>
      <c r="S43" s="1563"/>
      <c r="T43" s="1087"/>
      <c r="U43" s="1087"/>
      <c r="V43" s="481"/>
      <c r="W43" s="1087"/>
      <c r="X43" s="1087"/>
      <c r="Y43" s="1087"/>
      <c r="Z43" s="1087"/>
      <c r="AA43" s="1087"/>
      <c r="AB43" s="1559"/>
      <c r="AC43" s="503"/>
      <c r="AD43" s="503"/>
      <c r="AE43" s="503"/>
      <c r="AF43" s="503"/>
      <c r="AG43" s="1568">
        <v>11</v>
      </c>
    </row>
    <row r="44" spans="1:33" s="1568" customFormat="1" ht="11.45" customHeight="1">
      <c r="A44" s="917"/>
      <c r="B44" s="1563"/>
      <c r="C44" s="1563"/>
      <c r="D44" s="288"/>
      <c r="L44" s="1087"/>
      <c r="M44" s="1563"/>
      <c r="N44" s="1563"/>
      <c r="O44" s="1087"/>
      <c r="P44" s="1087"/>
      <c r="Q44" s="1087"/>
      <c r="R44" s="1087"/>
      <c r="S44" s="1563"/>
      <c r="T44" s="1087"/>
      <c r="U44" s="1087"/>
      <c r="V44" s="481"/>
      <c r="W44" s="1087"/>
      <c r="X44" s="1087"/>
      <c r="Y44" s="1087"/>
      <c r="Z44" s="1087"/>
      <c r="AA44" s="1087"/>
      <c r="AB44" s="1559"/>
      <c r="AC44" s="503"/>
      <c r="AD44" s="503"/>
      <c r="AE44" s="503"/>
      <c r="AF44" s="503"/>
      <c r="AG44" s="1568">
        <v>11</v>
      </c>
    </row>
    <row r="45" spans="1:33" s="1568" customFormat="1" ht="11.45" customHeight="1">
      <c r="A45" s="917"/>
      <c r="B45" s="1563"/>
      <c r="C45" s="1563"/>
      <c r="D45" s="288"/>
      <c r="L45" s="1087"/>
      <c r="M45" s="1563"/>
      <c r="N45" s="1563"/>
      <c r="O45" s="1087"/>
      <c r="P45" s="1087"/>
      <c r="Q45" s="1087"/>
      <c r="R45" s="1087"/>
      <c r="S45" s="1563"/>
      <c r="T45" s="1087"/>
      <c r="U45" s="1087"/>
      <c r="V45" s="481"/>
      <c r="W45" s="1087"/>
      <c r="X45" s="1087"/>
      <c r="Y45" s="1087"/>
      <c r="Z45" s="1087"/>
      <c r="AA45" s="1087"/>
      <c r="AB45" s="1559"/>
      <c r="AC45" s="503"/>
      <c r="AD45" s="503"/>
      <c r="AE45" s="503"/>
      <c r="AF45" s="503"/>
      <c r="AG45" s="1568">
        <v>11</v>
      </c>
    </row>
    <row r="46" spans="1:33" s="1568" customFormat="1" ht="11.45" customHeight="1">
      <c r="A46" s="917"/>
      <c r="B46" s="1563"/>
      <c r="C46" s="1563"/>
      <c r="D46" s="288"/>
      <c r="L46" s="1087"/>
      <c r="M46" s="1563"/>
      <c r="N46" s="1563"/>
      <c r="O46" s="1087"/>
      <c r="P46" s="1087"/>
      <c r="Q46" s="1087"/>
      <c r="R46" s="1087"/>
      <c r="S46" s="1563"/>
      <c r="T46" s="1087"/>
      <c r="U46" s="1087"/>
      <c r="V46" s="481"/>
      <c r="W46" s="1087"/>
      <c r="X46" s="1087"/>
      <c r="Y46" s="1087"/>
      <c r="Z46" s="1087"/>
      <c r="AA46" s="1087"/>
      <c r="AB46" s="1559"/>
      <c r="AC46" s="503"/>
      <c r="AD46" s="503"/>
      <c r="AE46" s="503"/>
      <c r="AF46" s="503"/>
      <c r="AG46" s="1568">
        <v>11</v>
      </c>
    </row>
    <row r="47" spans="1:33" s="1568" customFormat="1" ht="11.45" customHeight="1">
      <c r="A47" s="917"/>
      <c r="B47" s="1563"/>
      <c r="C47" s="1563"/>
      <c r="D47" s="288"/>
      <c r="L47" s="1087"/>
      <c r="M47" s="1563"/>
      <c r="N47" s="1563"/>
      <c r="O47" s="1087"/>
      <c r="P47" s="1087"/>
      <c r="Q47" s="1087"/>
      <c r="R47" s="1087"/>
      <c r="S47" s="1563"/>
      <c r="T47" s="1087"/>
      <c r="U47" s="1087"/>
      <c r="V47" s="481"/>
      <c r="W47" s="1087"/>
      <c r="X47" s="1087"/>
      <c r="Y47" s="1087"/>
      <c r="Z47" s="1087"/>
      <c r="AA47" s="1087"/>
      <c r="AB47" s="1559"/>
      <c r="AC47" s="503"/>
      <c r="AD47" s="503"/>
      <c r="AE47" s="503"/>
      <c r="AF47" s="503"/>
      <c r="AG47" s="1568">
        <v>11</v>
      </c>
    </row>
    <row r="48" spans="1:33" s="1568" customFormat="1" ht="11.45" customHeight="1">
      <c r="A48" s="917"/>
      <c r="B48" s="1563"/>
      <c r="C48" s="1563"/>
      <c r="D48" s="288"/>
      <c r="L48" s="1087"/>
      <c r="M48" s="1563"/>
      <c r="N48" s="1563"/>
      <c r="O48" s="1087"/>
      <c r="P48" s="1087"/>
      <c r="Q48" s="1087"/>
      <c r="R48" s="1087"/>
      <c r="S48" s="1563"/>
      <c r="T48" s="1087"/>
      <c r="U48" s="1087"/>
      <c r="V48" s="481"/>
      <c r="W48" s="1087"/>
      <c r="X48" s="1087"/>
      <c r="Y48" s="1087"/>
      <c r="Z48" s="1087"/>
      <c r="AA48" s="1087"/>
      <c r="AB48" s="1559"/>
      <c r="AC48" s="503"/>
      <c r="AD48" s="503"/>
      <c r="AE48" s="503"/>
      <c r="AF48" s="503"/>
      <c r="AG48" s="1568">
        <v>11</v>
      </c>
    </row>
    <row r="49" spans="1:33" s="1568" customFormat="1" ht="11.45" customHeight="1">
      <c r="A49" s="917"/>
      <c r="B49" s="1563"/>
      <c r="C49" s="1563"/>
      <c r="D49" s="288"/>
      <c r="L49" s="1087"/>
      <c r="M49" s="1563"/>
      <c r="N49" s="1563"/>
      <c r="O49" s="1087"/>
      <c r="P49" s="1087"/>
      <c r="Q49" s="1087"/>
      <c r="R49" s="1087"/>
      <c r="S49" s="1563"/>
      <c r="T49" s="1087"/>
      <c r="U49" s="1087"/>
      <c r="V49" s="481"/>
      <c r="W49" s="1087"/>
      <c r="X49" s="1087"/>
      <c r="Y49" s="1087"/>
      <c r="Z49" s="1087"/>
      <c r="AA49" s="1087"/>
      <c r="AB49" s="1559"/>
      <c r="AC49" s="503"/>
      <c r="AD49" s="503"/>
      <c r="AE49" s="503"/>
      <c r="AF49" s="503"/>
      <c r="AG49" s="1568">
        <v>11</v>
      </c>
    </row>
    <row r="50" spans="1:33" s="1568" customFormat="1" ht="11.45" customHeight="1">
      <c r="A50" s="917"/>
      <c r="B50" s="1563"/>
      <c r="C50" s="1563"/>
      <c r="D50" s="288"/>
      <c r="L50" s="1087"/>
      <c r="M50" s="1563"/>
      <c r="N50" s="1563"/>
      <c r="O50" s="1087"/>
      <c r="P50" s="1087"/>
      <c r="Q50" s="1087"/>
      <c r="R50" s="1087"/>
      <c r="S50" s="1563"/>
      <c r="T50" s="1087"/>
      <c r="U50" s="1087"/>
      <c r="V50" s="481"/>
      <c r="W50" s="1087"/>
      <c r="X50" s="1087"/>
      <c r="Y50" s="1087"/>
      <c r="Z50" s="1087"/>
      <c r="AA50" s="1087"/>
      <c r="AB50" s="1559"/>
      <c r="AC50" s="503"/>
      <c r="AD50" s="503"/>
      <c r="AE50" s="503"/>
      <c r="AF50" s="503"/>
      <c r="AG50" s="1568">
        <v>11</v>
      </c>
    </row>
    <row r="51" spans="1:33" s="1568" customFormat="1" ht="11.45" customHeight="1">
      <c r="A51" s="917"/>
      <c r="B51" s="1563"/>
      <c r="C51" s="1563"/>
      <c r="D51" s="288"/>
      <c r="L51" s="1087"/>
      <c r="M51" s="1563"/>
      <c r="N51" s="1563"/>
      <c r="O51" s="1087"/>
      <c r="P51" s="1087"/>
      <c r="Q51" s="1087"/>
      <c r="R51" s="1087"/>
      <c r="S51" s="1563"/>
      <c r="T51" s="1087"/>
      <c r="U51" s="1087"/>
      <c r="V51" s="481"/>
      <c r="W51" s="1087"/>
      <c r="X51" s="1087"/>
      <c r="Y51" s="1087"/>
      <c r="Z51" s="1087"/>
      <c r="AA51" s="1087"/>
      <c r="AB51" s="1559"/>
      <c r="AC51" s="503"/>
      <c r="AD51" s="503"/>
      <c r="AE51" s="503"/>
      <c r="AF51" s="503"/>
      <c r="AG51" s="1568">
        <v>11</v>
      </c>
    </row>
    <row r="52" spans="1:33" s="1568" customFormat="1" ht="11.45" customHeight="1">
      <c r="A52" s="917"/>
      <c r="B52" s="1563"/>
      <c r="C52" s="1563"/>
      <c r="D52" s="288"/>
      <c r="L52" s="1087"/>
      <c r="M52" s="1563"/>
      <c r="N52" s="1563"/>
      <c r="O52" s="1087"/>
      <c r="P52" s="1087"/>
      <c r="Q52" s="1087"/>
      <c r="R52" s="1087"/>
      <c r="S52" s="1563"/>
      <c r="T52" s="1087"/>
      <c r="U52" s="1087"/>
      <c r="V52" s="481"/>
      <c r="W52" s="1087"/>
      <c r="X52" s="1087"/>
      <c r="Y52" s="1087"/>
      <c r="Z52" s="1087"/>
      <c r="AA52" s="1087"/>
      <c r="AB52" s="1559"/>
      <c r="AC52" s="503"/>
      <c r="AD52" s="503"/>
      <c r="AE52" s="503"/>
      <c r="AF52" s="503"/>
      <c r="AG52" s="1568">
        <v>11</v>
      </c>
    </row>
    <row r="53" spans="1:33" s="1568" customFormat="1" ht="11.45" customHeight="1">
      <c r="A53" s="917"/>
      <c r="B53" s="1563"/>
      <c r="C53" s="1563"/>
      <c r="D53" s="288"/>
      <c r="L53" s="1087"/>
      <c r="M53" s="1563"/>
      <c r="N53" s="1563"/>
      <c r="O53" s="1087"/>
      <c r="P53" s="1087"/>
      <c r="Q53" s="1087"/>
      <c r="R53" s="1087"/>
      <c r="S53" s="1563"/>
      <c r="T53" s="1087"/>
      <c r="U53" s="1087"/>
      <c r="V53" s="481"/>
      <c r="W53" s="1087"/>
      <c r="X53" s="1087"/>
      <c r="Y53" s="1087"/>
      <c r="Z53" s="1087"/>
      <c r="AA53" s="1087"/>
      <c r="AB53" s="1559"/>
      <c r="AC53" s="503"/>
      <c r="AD53" s="503"/>
      <c r="AE53" s="503"/>
      <c r="AF53" s="503"/>
      <c r="AG53" s="1568">
        <v>11</v>
      </c>
    </row>
    <row r="54" spans="1:33" s="1568" customFormat="1" ht="11.45" customHeight="1">
      <c r="A54" s="917"/>
      <c r="B54" s="1563"/>
      <c r="C54" s="1563"/>
      <c r="D54" s="288"/>
      <c r="L54" s="1087"/>
      <c r="M54" s="1563"/>
      <c r="N54" s="1563"/>
      <c r="O54" s="1087"/>
      <c r="P54" s="1087"/>
      <c r="Q54" s="1087"/>
      <c r="R54" s="1087"/>
      <c r="S54" s="1563"/>
      <c r="T54" s="1087"/>
      <c r="U54" s="1087"/>
      <c r="V54" s="481"/>
      <c r="W54" s="1087"/>
      <c r="X54" s="1087"/>
      <c r="Y54" s="1087"/>
      <c r="Z54" s="1087"/>
      <c r="AA54" s="1087"/>
      <c r="AB54" s="1559"/>
      <c r="AC54" s="503"/>
      <c r="AD54" s="503"/>
      <c r="AE54" s="503"/>
      <c r="AF54" s="503"/>
      <c r="AG54" s="1568">
        <v>11</v>
      </c>
    </row>
    <row r="55" spans="1:33" s="1568" customFormat="1" ht="11.45" customHeight="1">
      <c r="A55" s="917"/>
      <c r="B55" s="1563"/>
      <c r="C55" s="1563"/>
      <c r="D55" s="288"/>
      <c r="L55" s="1087"/>
      <c r="M55" s="1563"/>
      <c r="N55" s="1563"/>
      <c r="O55" s="1087"/>
      <c r="P55" s="1087"/>
      <c r="Q55" s="1087"/>
      <c r="R55" s="1087"/>
      <c r="S55" s="1563"/>
      <c r="T55" s="1087"/>
      <c r="U55" s="1087"/>
      <c r="V55" s="481"/>
      <c r="W55" s="1087"/>
      <c r="X55" s="1087"/>
      <c r="Y55" s="1087"/>
      <c r="Z55" s="1087"/>
      <c r="AA55" s="1087"/>
      <c r="AB55" s="1559"/>
      <c r="AC55" s="503"/>
      <c r="AD55" s="503"/>
      <c r="AE55" s="503"/>
      <c r="AF55" s="503"/>
      <c r="AG55" s="1568">
        <v>11</v>
      </c>
    </row>
    <row r="56" spans="1:33" s="1568" customFormat="1" ht="11.45" customHeight="1">
      <c r="A56" s="917"/>
      <c r="B56" s="1563"/>
      <c r="C56" s="1563"/>
      <c r="D56" s="288"/>
      <c r="L56" s="1087"/>
      <c r="M56" s="1563"/>
      <c r="N56" s="1563"/>
      <c r="O56" s="1087"/>
      <c r="P56" s="1087"/>
      <c r="Q56" s="1087"/>
      <c r="R56" s="1087"/>
      <c r="S56" s="1563"/>
      <c r="T56" s="1087"/>
      <c r="U56" s="1087"/>
      <c r="V56" s="481"/>
      <c r="W56" s="1087"/>
      <c r="X56" s="1087"/>
      <c r="Y56" s="1087"/>
      <c r="Z56" s="1087"/>
      <c r="AA56" s="1087"/>
      <c r="AB56" s="1559"/>
      <c r="AC56" s="503"/>
      <c r="AD56" s="503"/>
      <c r="AE56" s="503"/>
      <c r="AF56" s="503"/>
      <c r="AG56" s="1568">
        <v>11</v>
      </c>
    </row>
    <row r="57" spans="1:33" s="1568" customFormat="1" ht="11.45" customHeight="1">
      <c r="A57" s="917"/>
      <c r="B57" s="1563"/>
      <c r="C57" s="1563"/>
      <c r="D57" s="288"/>
      <c r="L57" s="1087"/>
      <c r="M57" s="1563"/>
      <c r="N57" s="1563"/>
      <c r="O57" s="1087"/>
      <c r="P57" s="1087"/>
      <c r="Q57" s="1087"/>
      <c r="R57" s="1087"/>
      <c r="S57" s="1563"/>
      <c r="T57" s="1087"/>
      <c r="U57" s="1087"/>
      <c r="V57" s="481"/>
      <c r="W57" s="1087"/>
      <c r="X57" s="1087"/>
      <c r="Y57" s="1087"/>
      <c r="Z57" s="1087"/>
      <c r="AA57" s="1087"/>
      <c r="AB57" s="1559"/>
      <c r="AC57" s="503"/>
      <c r="AD57" s="503"/>
      <c r="AE57" s="503"/>
      <c r="AF57" s="503"/>
      <c r="AG57" s="1568">
        <v>11</v>
      </c>
    </row>
    <row r="58" spans="1:33" s="1568" customFormat="1" ht="11.45" customHeight="1">
      <c r="A58" s="917"/>
      <c r="B58" s="1563"/>
      <c r="C58" s="1563"/>
      <c r="D58" s="288"/>
      <c r="L58" s="1087"/>
      <c r="M58" s="1563"/>
      <c r="N58" s="1563"/>
      <c r="O58" s="1087"/>
      <c r="P58" s="1087"/>
      <c r="Q58" s="1087"/>
      <c r="R58" s="1087"/>
      <c r="S58" s="1563"/>
      <c r="T58" s="1087"/>
      <c r="U58" s="1087"/>
      <c r="V58" s="481"/>
      <c r="W58" s="1087"/>
      <c r="X58" s="1087"/>
      <c r="Y58" s="1087"/>
      <c r="Z58" s="1087"/>
      <c r="AA58" s="1087"/>
      <c r="AB58" s="1559"/>
      <c r="AC58" s="503"/>
      <c r="AD58" s="503"/>
      <c r="AE58" s="503"/>
      <c r="AF58" s="503"/>
      <c r="AG58" s="1568">
        <v>11</v>
      </c>
    </row>
    <row r="59" spans="1:33" s="1568" customFormat="1" ht="11.45" customHeight="1">
      <c r="A59" s="917"/>
      <c r="B59" s="1563"/>
      <c r="C59" s="1563"/>
      <c r="D59" s="288"/>
      <c r="L59" s="1087"/>
      <c r="M59" s="1563"/>
      <c r="N59" s="1563"/>
      <c r="O59" s="1087"/>
      <c r="P59" s="1087"/>
      <c r="Q59" s="1087"/>
      <c r="R59" s="1087"/>
      <c r="S59" s="1563"/>
      <c r="T59" s="1087"/>
      <c r="U59" s="1087"/>
      <c r="V59" s="481"/>
      <c r="W59" s="1087"/>
      <c r="X59" s="1087"/>
      <c r="Y59" s="1087"/>
      <c r="Z59" s="1087"/>
      <c r="AA59" s="1087"/>
      <c r="AB59" s="1559"/>
      <c r="AC59" s="503"/>
      <c r="AD59" s="503"/>
      <c r="AE59" s="503"/>
      <c r="AF59" s="503"/>
      <c r="AG59" s="1568">
        <v>11</v>
      </c>
    </row>
    <row r="60" spans="1:33" s="1568" customFormat="1" ht="11.45" customHeight="1">
      <c r="A60" s="917"/>
      <c r="B60" s="1563"/>
      <c r="C60" s="1563"/>
      <c r="D60" s="288"/>
      <c r="L60" s="1087"/>
      <c r="M60" s="1563"/>
      <c r="N60" s="1563"/>
      <c r="O60" s="1087"/>
      <c r="P60" s="1087"/>
      <c r="Q60" s="1087"/>
      <c r="R60" s="1087"/>
      <c r="S60" s="1563"/>
      <c r="T60" s="1087"/>
      <c r="U60" s="1087"/>
      <c r="V60" s="481"/>
      <c r="W60" s="1087"/>
      <c r="X60" s="1087"/>
      <c r="Y60" s="1087"/>
      <c r="Z60" s="1087"/>
      <c r="AA60" s="1087"/>
      <c r="AB60" s="1559"/>
      <c r="AC60" s="503"/>
      <c r="AD60" s="503"/>
      <c r="AE60" s="503"/>
      <c r="AF60" s="503"/>
      <c r="AG60" s="1568">
        <v>11</v>
      </c>
    </row>
    <row r="61" spans="1:33" s="1568" customFormat="1" ht="11.45" customHeight="1">
      <c r="A61" s="917"/>
      <c r="B61" s="1563"/>
      <c r="C61" s="1563"/>
      <c r="D61" s="288"/>
      <c r="L61" s="1087"/>
      <c r="M61" s="1563"/>
      <c r="N61" s="1563"/>
      <c r="O61" s="1087"/>
      <c r="P61" s="1087"/>
      <c r="Q61" s="1087"/>
      <c r="R61" s="1087"/>
      <c r="S61" s="1563"/>
      <c r="T61" s="1087"/>
      <c r="U61" s="1087"/>
      <c r="V61" s="481"/>
      <c r="W61" s="1087"/>
      <c r="X61" s="1087"/>
      <c r="Y61" s="1087"/>
      <c r="Z61" s="1087"/>
      <c r="AA61" s="1087"/>
      <c r="AB61" s="1559"/>
      <c r="AC61" s="503"/>
      <c r="AD61" s="503"/>
      <c r="AE61" s="503"/>
      <c r="AF61" s="503"/>
      <c r="AG61" s="1568">
        <v>11</v>
      </c>
    </row>
    <row r="62" spans="1:33" s="1568" customFormat="1" ht="11.45" customHeight="1">
      <c r="A62" s="917"/>
      <c r="B62" s="1563"/>
      <c r="C62" s="1563"/>
      <c r="D62" s="288"/>
      <c r="L62" s="1087"/>
      <c r="M62" s="1563"/>
      <c r="N62" s="1563"/>
      <c r="O62" s="1087"/>
      <c r="P62" s="1087"/>
      <c r="Q62" s="1087"/>
      <c r="R62" s="1087"/>
      <c r="S62" s="1563"/>
      <c r="T62" s="1087"/>
      <c r="U62" s="1087"/>
      <c r="V62" s="481"/>
      <c r="W62" s="1087"/>
      <c r="X62" s="1087"/>
      <c r="Y62" s="1087"/>
      <c r="Z62" s="1087"/>
      <c r="AA62" s="1087"/>
      <c r="AB62" s="1559"/>
      <c r="AC62" s="503"/>
      <c r="AD62" s="503"/>
      <c r="AE62" s="503"/>
      <c r="AF62" s="503"/>
      <c r="AG62" s="1568">
        <v>11</v>
      </c>
    </row>
    <row r="63" spans="1:33" s="1568" customFormat="1" ht="11.45" customHeight="1">
      <c r="A63" s="917"/>
      <c r="B63" s="1563"/>
      <c r="C63" s="1563"/>
      <c r="D63" s="288"/>
      <c r="L63" s="1087"/>
      <c r="M63" s="1563"/>
      <c r="N63" s="1563"/>
      <c r="O63" s="1087"/>
      <c r="P63" s="1087"/>
      <c r="Q63" s="1087"/>
      <c r="R63" s="1087"/>
      <c r="S63" s="1563"/>
      <c r="T63" s="1087"/>
      <c r="U63" s="1087"/>
      <c r="V63" s="481"/>
      <c r="W63" s="1087"/>
      <c r="X63" s="1087"/>
      <c r="Y63" s="1087"/>
      <c r="Z63" s="1087"/>
      <c r="AA63" s="1087"/>
      <c r="AB63" s="1559"/>
      <c r="AC63" s="503"/>
      <c r="AD63" s="503"/>
      <c r="AE63" s="503"/>
      <c r="AF63" s="503"/>
      <c r="AG63" s="1568">
        <v>11</v>
      </c>
    </row>
    <row r="64" spans="1:33" s="1568" customFormat="1" ht="11.45" customHeight="1">
      <c r="A64" s="917"/>
      <c r="B64" s="1563"/>
      <c r="C64" s="1563"/>
      <c r="D64" s="288"/>
      <c r="L64" s="1087"/>
      <c r="M64" s="1563"/>
      <c r="N64" s="1563"/>
      <c r="O64" s="1087"/>
      <c r="P64" s="1087"/>
      <c r="Q64" s="1087"/>
      <c r="R64" s="1087"/>
      <c r="S64" s="1563"/>
      <c r="T64" s="1087"/>
      <c r="U64" s="1087"/>
      <c r="V64" s="481"/>
      <c r="W64" s="1087"/>
      <c r="X64" s="1087"/>
      <c r="Y64" s="1087"/>
      <c r="Z64" s="1087"/>
      <c r="AA64" s="1087"/>
      <c r="AB64" s="1559"/>
      <c r="AC64" s="503"/>
      <c r="AD64" s="503"/>
      <c r="AE64" s="503"/>
      <c r="AF64" s="503"/>
      <c r="AG64" s="1568">
        <v>11</v>
      </c>
    </row>
    <row r="65" spans="1:33" s="1568" customFormat="1" ht="11.45" customHeight="1">
      <c r="A65" s="917"/>
      <c r="B65" s="1563"/>
      <c r="C65" s="1563"/>
      <c r="D65" s="288"/>
      <c r="L65" s="1087"/>
      <c r="M65" s="1563"/>
      <c r="N65" s="1563"/>
      <c r="O65" s="1087"/>
      <c r="P65" s="1087"/>
      <c r="Q65" s="1087"/>
      <c r="R65" s="1087"/>
      <c r="S65" s="1563"/>
      <c r="T65" s="1087"/>
      <c r="U65" s="1087"/>
      <c r="V65" s="481"/>
      <c r="W65" s="1087"/>
      <c r="X65" s="1087"/>
      <c r="Y65" s="1087"/>
      <c r="Z65" s="1087"/>
      <c r="AA65" s="1087"/>
      <c r="AB65" s="1559"/>
      <c r="AC65" s="503"/>
      <c r="AD65" s="503"/>
      <c r="AE65" s="503"/>
      <c r="AF65" s="503"/>
      <c r="AG65" s="1568">
        <v>11</v>
      </c>
    </row>
    <row r="66" spans="1:33" s="1568" customFormat="1" ht="11.45" customHeight="1">
      <c r="A66" s="917"/>
      <c r="B66" s="1563"/>
      <c r="C66" s="1563"/>
      <c r="D66" s="288"/>
      <c r="L66" s="1087"/>
      <c r="M66" s="1563"/>
      <c r="N66" s="1563"/>
      <c r="O66" s="1087"/>
      <c r="P66" s="1087"/>
      <c r="Q66" s="1087"/>
      <c r="R66" s="1087"/>
      <c r="S66" s="1563"/>
      <c r="T66" s="1087"/>
      <c r="U66" s="1087"/>
      <c r="V66" s="481"/>
      <c r="W66" s="1087"/>
      <c r="X66" s="1087"/>
      <c r="Y66" s="1087"/>
      <c r="Z66" s="1087"/>
      <c r="AA66" s="1087"/>
      <c r="AB66" s="1559"/>
      <c r="AC66" s="503"/>
      <c r="AD66" s="503"/>
      <c r="AE66" s="503"/>
      <c r="AF66" s="503"/>
      <c r="AG66" s="1568">
        <v>11</v>
      </c>
    </row>
    <row r="67" spans="1:33" s="1568" customFormat="1" ht="11.45" customHeight="1">
      <c r="A67" s="917"/>
      <c r="B67" s="1563"/>
      <c r="C67" s="1563"/>
      <c r="D67" s="288"/>
      <c r="L67" s="1087"/>
      <c r="M67" s="1563"/>
      <c r="N67" s="1563"/>
      <c r="O67" s="1087"/>
      <c r="P67" s="1087"/>
      <c r="Q67" s="1087"/>
      <c r="R67" s="1087"/>
      <c r="S67" s="1563"/>
      <c r="T67" s="1087"/>
      <c r="U67" s="1087"/>
      <c r="V67" s="481"/>
      <c r="W67" s="1087"/>
      <c r="X67" s="1087"/>
      <c r="Y67" s="1087"/>
      <c r="Z67" s="1087"/>
      <c r="AA67" s="1087"/>
      <c r="AB67" s="1559"/>
      <c r="AC67" s="503"/>
      <c r="AD67" s="503"/>
      <c r="AE67" s="503"/>
      <c r="AF67" s="503"/>
      <c r="AG67" s="1568">
        <v>11</v>
      </c>
    </row>
    <row r="68" spans="1:33" s="1568" customFormat="1" ht="11.45" customHeight="1">
      <c r="A68" s="917"/>
      <c r="B68" s="1563"/>
      <c r="C68" s="1563"/>
      <c r="D68" s="288"/>
      <c r="L68" s="1087"/>
      <c r="M68" s="1563"/>
      <c r="N68" s="1563"/>
      <c r="O68" s="1087"/>
      <c r="P68" s="1087"/>
      <c r="Q68" s="1087"/>
      <c r="R68" s="1087"/>
      <c r="S68" s="1563"/>
      <c r="T68" s="1087"/>
      <c r="U68" s="1087"/>
      <c r="V68" s="481"/>
      <c r="W68" s="1087"/>
      <c r="X68" s="1087"/>
      <c r="Y68" s="1087"/>
      <c r="Z68" s="1087"/>
      <c r="AA68" s="1087"/>
      <c r="AB68" s="1559"/>
      <c r="AC68" s="503"/>
      <c r="AD68" s="503"/>
      <c r="AE68" s="503"/>
      <c r="AF68" s="503"/>
      <c r="AG68" s="1568">
        <v>11</v>
      </c>
    </row>
    <row r="69" spans="1:33" s="1568" customFormat="1" ht="11.45" customHeight="1">
      <c r="A69" s="917"/>
      <c r="B69" s="1563"/>
      <c r="C69" s="1563"/>
      <c r="D69" s="288"/>
      <c r="L69" s="1087"/>
      <c r="M69" s="1563"/>
      <c r="N69" s="1563"/>
      <c r="O69" s="1087"/>
      <c r="P69" s="1087"/>
      <c r="Q69" s="1087"/>
      <c r="R69" s="1087"/>
      <c r="S69" s="1563"/>
      <c r="T69" s="1087"/>
      <c r="U69" s="1087"/>
      <c r="V69" s="481"/>
      <c r="W69" s="1087"/>
      <c r="X69" s="1087"/>
      <c r="Y69" s="1087"/>
      <c r="Z69" s="1087"/>
      <c r="AA69" s="1087"/>
      <c r="AB69" s="1559"/>
      <c r="AC69" s="503"/>
      <c r="AD69" s="503"/>
      <c r="AE69" s="503"/>
      <c r="AF69" s="503"/>
      <c r="AG69" s="1568">
        <v>11</v>
      </c>
    </row>
    <row r="70" spans="1:33" s="1568" customFormat="1" ht="11.45" customHeight="1">
      <c r="A70" s="917"/>
      <c r="B70" s="1563"/>
      <c r="C70" s="1563"/>
      <c r="D70" s="288"/>
      <c r="L70" s="1087"/>
      <c r="M70" s="1563"/>
      <c r="N70" s="1563"/>
      <c r="O70" s="1087"/>
      <c r="P70" s="1087"/>
      <c r="Q70" s="1087"/>
      <c r="R70" s="1087"/>
      <c r="S70" s="1563"/>
      <c r="T70" s="1087"/>
      <c r="U70" s="1087"/>
      <c r="V70" s="481"/>
      <c r="W70" s="1087"/>
      <c r="X70" s="1087"/>
      <c r="Y70" s="1087"/>
      <c r="Z70" s="1087"/>
      <c r="AA70" s="1087"/>
      <c r="AB70" s="1559"/>
      <c r="AC70" s="503"/>
      <c r="AD70" s="503"/>
      <c r="AE70" s="503"/>
      <c r="AF70" s="503"/>
      <c r="AG70" s="1568">
        <v>11</v>
      </c>
    </row>
    <row r="71" spans="1:33" s="1568" customFormat="1" ht="11.45" customHeight="1">
      <c r="A71" s="917"/>
      <c r="B71" s="1563"/>
      <c r="C71" s="1563"/>
      <c r="D71" s="288"/>
      <c r="L71" s="1087"/>
      <c r="M71" s="1563"/>
      <c r="N71" s="1563"/>
      <c r="O71" s="1087"/>
      <c r="P71" s="1087"/>
      <c r="Q71" s="1087"/>
      <c r="R71" s="1087"/>
      <c r="S71" s="1563"/>
      <c r="T71" s="1087"/>
      <c r="U71" s="1087"/>
      <c r="V71" s="481"/>
      <c r="W71" s="1087"/>
      <c r="X71" s="1087"/>
      <c r="Y71" s="1087"/>
      <c r="Z71" s="1087"/>
      <c r="AA71" s="1087"/>
      <c r="AB71" s="1559"/>
      <c r="AC71" s="503"/>
      <c r="AD71" s="503"/>
      <c r="AE71" s="503"/>
      <c r="AF71" s="503"/>
      <c r="AG71" s="1568">
        <v>11</v>
      </c>
    </row>
    <row r="72" spans="1:33" s="1568" customFormat="1" ht="11.45" customHeight="1">
      <c r="A72" s="917"/>
      <c r="B72" s="1563"/>
      <c r="C72" s="1563"/>
      <c r="D72" s="288"/>
      <c r="L72" s="1087"/>
      <c r="M72" s="1563"/>
      <c r="N72" s="1563"/>
      <c r="O72" s="1087"/>
      <c r="P72" s="1087"/>
      <c r="Q72" s="1087"/>
      <c r="R72" s="1087"/>
      <c r="S72" s="1563"/>
      <c r="T72" s="1087"/>
      <c r="U72" s="1087"/>
      <c r="V72" s="481"/>
      <c r="W72" s="1087"/>
      <c r="X72" s="1087"/>
      <c r="Y72" s="1087"/>
      <c r="Z72" s="1087"/>
      <c r="AA72" s="1087"/>
      <c r="AB72" s="1559"/>
      <c r="AC72" s="503"/>
      <c r="AD72" s="503"/>
      <c r="AE72" s="503"/>
      <c r="AF72" s="503"/>
      <c r="AG72" s="1568">
        <v>11</v>
      </c>
    </row>
    <row r="73" spans="1:33" s="1568" customFormat="1" ht="11.45" customHeight="1">
      <c r="A73" s="917"/>
      <c r="B73" s="1563"/>
      <c r="C73" s="1563"/>
      <c r="D73" s="288"/>
      <c r="L73" s="1087"/>
      <c r="M73" s="1563"/>
      <c r="N73" s="1563"/>
      <c r="O73" s="1087"/>
      <c r="P73" s="1087"/>
      <c r="Q73" s="1087"/>
      <c r="R73" s="1087"/>
      <c r="S73" s="1563"/>
      <c r="T73" s="1087"/>
      <c r="U73" s="1087"/>
      <c r="V73" s="481"/>
      <c r="W73" s="1087"/>
      <c r="X73" s="1087"/>
      <c r="Y73" s="1087"/>
      <c r="Z73" s="1087"/>
      <c r="AA73" s="1087"/>
      <c r="AB73" s="1559"/>
      <c r="AC73" s="503"/>
      <c r="AD73" s="503"/>
      <c r="AE73" s="503"/>
      <c r="AF73" s="503"/>
      <c r="AG73" s="1568">
        <v>11</v>
      </c>
    </row>
    <row r="74" spans="1:33" s="1568" customFormat="1" ht="11.45" customHeight="1">
      <c r="A74" s="917"/>
      <c r="B74" s="1563"/>
      <c r="C74" s="1563"/>
      <c r="D74" s="288"/>
      <c r="L74" s="1087"/>
      <c r="M74" s="1563"/>
      <c r="N74" s="1563"/>
      <c r="O74" s="1087"/>
      <c r="P74" s="1087"/>
      <c r="Q74" s="1087"/>
      <c r="R74" s="1087"/>
      <c r="S74" s="1563"/>
      <c r="T74" s="1087"/>
      <c r="U74" s="1087"/>
      <c r="V74" s="481"/>
      <c r="W74" s="1087"/>
      <c r="X74" s="1087"/>
      <c r="Y74" s="1087"/>
      <c r="Z74" s="1087"/>
      <c r="AA74" s="1087"/>
      <c r="AB74" s="1559"/>
      <c r="AC74" s="503"/>
      <c r="AD74" s="503"/>
      <c r="AE74" s="503"/>
      <c r="AF74" s="503"/>
      <c r="AG74" s="1568">
        <v>11</v>
      </c>
    </row>
    <row r="75" spans="1:33" s="1568" customFormat="1" ht="11.45" customHeight="1">
      <c r="A75" s="917"/>
      <c r="B75" s="1563"/>
      <c r="C75" s="1563"/>
      <c r="D75" s="288"/>
      <c r="L75" s="1087"/>
      <c r="M75" s="1563"/>
      <c r="N75" s="1563"/>
      <c r="O75" s="1087"/>
      <c r="P75" s="1087"/>
      <c r="Q75" s="1087"/>
      <c r="R75" s="1087"/>
      <c r="S75" s="1563"/>
      <c r="T75" s="1087"/>
      <c r="U75" s="1087"/>
      <c r="V75" s="481"/>
      <c r="W75" s="1087"/>
      <c r="X75" s="1087"/>
      <c r="Y75" s="1087"/>
      <c r="Z75" s="1087"/>
      <c r="AA75" s="1087"/>
      <c r="AB75" s="1559"/>
      <c r="AC75" s="503"/>
      <c r="AD75" s="503"/>
      <c r="AE75" s="503"/>
      <c r="AF75" s="503"/>
      <c r="AG75" s="1568">
        <v>11</v>
      </c>
    </row>
    <row r="76" spans="1:33" s="1568" customFormat="1" ht="11.45" customHeight="1">
      <c r="A76" s="917"/>
      <c r="B76" s="1563"/>
      <c r="C76" s="1563"/>
      <c r="D76" s="288"/>
      <c r="L76" s="1087"/>
      <c r="M76" s="1563"/>
      <c r="N76" s="1563"/>
      <c r="O76" s="1087"/>
      <c r="P76" s="1087"/>
      <c r="Q76" s="1087"/>
      <c r="R76" s="1087"/>
      <c r="S76" s="1563"/>
      <c r="T76" s="1087"/>
      <c r="U76" s="1087"/>
      <c r="V76" s="481"/>
      <c r="W76" s="1087"/>
      <c r="X76" s="1087"/>
      <c r="Y76" s="1087"/>
      <c r="Z76" s="1087"/>
      <c r="AA76" s="1087"/>
      <c r="AB76" s="1559"/>
      <c r="AC76" s="503"/>
      <c r="AD76" s="503"/>
      <c r="AE76" s="503"/>
      <c r="AF76" s="503"/>
      <c r="AG76" s="1568">
        <v>11</v>
      </c>
    </row>
    <row r="77" spans="1:33" s="1568" customFormat="1" ht="11.45" customHeight="1">
      <c r="A77" s="917"/>
      <c r="B77" s="1563"/>
      <c r="C77" s="1563"/>
      <c r="D77" s="288"/>
      <c r="L77" s="1087"/>
      <c r="M77" s="1563"/>
      <c r="N77" s="1563"/>
      <c r="O77" s="1087"/>
      <c r="P77" s="1087"/>
      <c r="Q77" s="1087"/>
      <c r="R77" s="1087"/>
      <c r="S77" s="1563"/>
      <c r="T77" s="1087"/>
      <c r="U77" s="1087"/>
      <c r="V77" s="481"/>
      <c r="W77" s="1087"/>
      <c r="X77" s="1087"/>
      <c r="Y77" s="1087"/>
      <c r="Z77" s="1087"/>
      <c r="AA77" s="1087"/>
      <c r="AB77" s="1559"/>
      <c r="AC77" s="503"/>
      <c r="AD77" s="503"/>
      <c r="AE77" s="503"/>
      <c r="AF77" s="503"/>
      <c r="AG77" s="1568">
        <v>11</v>
      </c>
    </row>
    <row r="78" spans="1:33" s="1568" customFormat="1" ht="11.45" customHeight="1">
      <c r="A78" s="917"/>
      <c r="B78" s="1563"/>
      <c r="C78" s="1563"/>
      <c r="D78" s="288"/>
      <c r="L78" s="1087"/>
      <c r="M78" s="1563"/>
      <c r="N78" s="1563"/>
      <c r="O78" s="1087"/>
      <c r="P78" s="1087"/>
      <c r="Q78" s="1087"/>
      <c r="R78" s="1087"/>
      <c r="S78" s="1563"/>
      <c r="T78" s="1087"/>
      <c r="U78" s="1087"/>
      <c r="V78" s="481"/>
      <c r="W78" s="1087"/>
      <c r="X78" s="1087"/>
      <c r="Y78" s="1087"/>
      <c r="Z78" s="1087"/>
      <c r="AA78" s="1087"/>
      <c r="AB78" s="1559"/>
      <c r="AC78" s="503"/>
      <c r="AD78" s="503"/>
      <c r="AE78" s="503"/>
      <c r="AF78" s="503"/>
      <c r="AG78" s="1568">
        <v>11</v>
      </c>
    </row>
    <row r="79" spans="1:33" s="1568" customFormat="1" ht="11.45" customHeight="1">
      <c r="A79" s="917"/>
      <c r="B79" s="1563"/>
      <c r="C79" s="1563"/>
      <c r="D79" s="288"/>
      <c r="L79" s="1087"/>
      <c r="M79" s="1563"/>
      <c r="N79" s="1563"/>
      <c r="O79" s="1087"/>
      <c r="P79" s="1087"/>
      <c r="Q79" s="1087"/>
      <c r="R79" s="1087"/>
      <c r="S79" s="1563"/>
      <c r="T79" s="1087"/>
      <c r="U79" s="1087"/>
      <c r="V79" s="481"/>
      <c r="W79" s="1087"/>
      <c r="X79" s="1087"/>
      <c r="Y79" s="1087"/>
      <c r="Z79" s="1087"/>
      <c r="AA79" s="1087"/>
      <c r="AB79" s="1559"/>
      <c r="AC79" s="503"/>
      <c r="AD79" s="503"/>
      <c r="AE79" s="503"/>
      <c r="AF79" s="503"/>
      <c r="AG79" s="1568">
        <v>11</v>
      </c>
    </row>
    <row r="80" spans="1:33" s="1568" customFormat="1" ht="11.45" customHeight="1">
      <c r="A80" s="917"/>
      <c r="B80" s="1563"/>
      <c r="C80" s="1563"/>
      <c r="D80" s="288"/>
      <c r="L80" s="1087"/>
      <c r="M80" s="1563"/>
      <c r="N80" s="1563"/>
      <c r="O80" s="1087"/>
      <c r="P80" s="1087"/>
      <c r="Q80" s="1087"/>
      <c r="R80" s="1087"/>
      <c r="S80" s="1563"/>
      <c r="T80" s="1087"/>
      <c r="U80" s="1087"/>
      <c r="V80" s="481"/>
      <c r="W80" s="1087"/>
      <c r="X80" s="1087"/>
      <c r="Y80" s="1087"/>
      <c r="Z80" s="1087"/>
      <c r="AA80" s="1087"/>
      <c r="AB80" s="1559"/>
      <c r="AC80" s="503"/>
      <c r="AD80" s="503"/>
      <c r="AE80" s="503"/>
      <c r="AF80" s="503"/>
      <c r="AG80" s="1568">
        <v>11</v>
      </c>
    </row>
    <row r="81" spans="1:33" s="1568" customFormat="1" ht="11.45" customHeight="1">
      <c r="A81" s="917"/>
      <c r="B81" s="1563"/>
      <c r="C81" s="1563"/>
      <c r="D81" s="288"/>
      <c r="L81" s="1087"/>
      <c r="M81" s="1563"/>
      <c r="N81" s="1563"/>
      <c r="O81" s="1087"/>
      <c r="P81" s="1087"/>
      <c r="Q81" s="1087"/>
      <c r="R81" s="1087"/>
      <c r="S81" s="1563"/>
      <c r="T81" s="1087"/>
      <c r="U81" s="1087"/>
      <c r="V81" s="481"/>
      <c r="W81" s="1087"/>
      <c r="X81" s="1087"/>
      <c r="Y81" s="1087"/>
      <c r="Z81" s="1087"/>
      <c r="AA81" s="1087"/>
      <c r="AB81" s="1559"/>
      <c r="AC81" s="503"/>
      <c r="AD81" s="503"/>
      <c r="AE81" s="503"/>
      <c r="AF81" s="503"/>
      <c r="AG81" s="1568">
        <v>11</v>
      </c>
    </row>
    <row r="82" spans="1:33" s="1568" customFormat="1" ht="11.45" customHeight="1">
      <c r="A82" s="917"/>
      <c r="B82" s="1563"/>
      <c r="C82" s="1563"/>
      <c r="D82" s="288"/>
      <c r="L82" s="1087"/>
      <c r="M82" s="1563"/>
      <c r="N82" s="1563"/>
      <c r="O82" s="1087"/>
      <c r="P82" s="1087"/>
      <c r="Q82" s="1087"/>
      <c r="R82" s="1087"/>
      <c r="S82" s="1563"/>
      <c r="T82" s="1087"/>
      <c r="U82" s="1087"/>
      <c r="V82" s="481"/>
      <c r="W82" s="1087"/>
      <c r="X82" s="1087"/>
      <c r="Y82" s="1087"/>
      <c r="Z82" s="1087"/>
      <c r="AA82" s="1087"/>
      <c r="AB82" s="1559"/>
      <c r="AC82" s="503"/>
      <c r="AD82" s="503"/>
      <c r="AE82" s="503"/>
      <c r="AF82" s="503"/>
      <c r="AG82" s="1568">
        <v>11</v>
      </c>
    </row>
    <row r="83" spans="1:33" s="1568" customFormat="1" ht="11.45" customHeight="1">
      <c r="A83" s="917"/>
      <c r="B83" s="1563"/>
      <c r="C83" s="1563"/>
      <c r="D83" s="288"/>
      <c r="L83" s="1087"/>
      <c r="M83" s="1563"/>
      <c r="N83" s="1563"/>
      <c r="O83" s="1087"/>
      <c r="P83" s="1087"/>
      <c r="Q83" s="1087"/>
      <c r="R83" s="1087"/>
      <c r="S83" s="1563"/>
      <c r="T83" s="1087"/>
      <c r="U83" s="1087"/>
      <c r="V83" s="481"/>
      <c r="W83" s="1087"/>
      <c r="X83" s="1087"/>
      <c r="Y83" s="1087"/>
      <c r="Z83" s="1087"/>
      <c r="AA83" s="1087"/>
      <c r="AB83" s="1559"/>
      <c r="AC83" s="503"/>
      <c r="AD83" s="503"/>
      <c r="AE83" s="503"/>
      <c r="AF83" s="503"/>
      <c r="AG83" s="1568">
        <v>11</v>
      </c>
    </row>
    <row r="84" spans="1:33" s="1568" customFormat="1" ht="11.45" customHeight="1">
      <c r="A84" s="917"/>
      <c r="B84" s="1563"/>
      <c r="C84" s="1563"/>
      <c r="D84" s="288"/>
      <c r="L84" s="1087"/>
      <c r="M84" s="1563"/>
      <c r="N84" s="1563"/>
      <c r="O84" s="1087"/>
      <c r="P84" s="1087"/>
      <c r="Q84" s="1087"/>
      <c r="R84" s="1087"/>
      <c r="S84" s="1563"/>
      <c r="T84" s="1087"/>
      <c r="U84" s="1087"/>
      <c r="V84" s="481"/>
      <c r="W84" s="1087"/>
      <c r="X84" s="1087"/>
      <c r="Y84" s="1087"/>
      <c r="Z84" s="1087"/>
      <c r="AA84" s="1087"/>
      <c r="AB84" s="1559"/>
      <c r="AC84" s="503"/>
      <c r="AD84" s="503"/>
      <c r="AE84" s="503"/>
      <c r="AF84" s="503"/>
      <c r="AG84" s="1568">
        <v>11</v>
      </c>
    </row>
    <row r="85" spans="1:33" s="1568" customFormat="1" ht="11.45" customHeight="1">
      <c r="A85" s="917"/>
      <c r="B85" s="1563"/>
      <c r="C85" s="1563"/>
      <c r="D85" s="288"/>
      <c r="L85" s="1087"/>
      <c r="M85" s="1563"/>
      <c r="N85" s="1563"/>
      <c r="O85" s="1087"/>
      <c r="P85" s="1087"/>
      <c r="Q85" s="1087"/>
      <c r="R85" s="1087"/>
      <c r="S85" s="1563"/>
      <c r="T85" s="1087"/>
      <c r="U85" s="1087"/>
      <c r="V85" s="481"/>
      <c r="W85" s="1087"/>
      <c r="X85" s="1087"/>
      <c r="Y85" s="1087"/>
      <c r="Z85" s="1087"/>
      <c r="AA85" s="1087"/>
      <c r="AB85" s="1559"/>
      <c r="AC85" s="503"/>
      <c r="AD85" s="503"/>
      <c r="AE85" s="503"/>
      <c r="AF85" s="503"/>
      <c r="AG85" s="1568">
        <v>11</v>
      </c>
    </row>
    <row r="86" spans="1:33" s="1568" customFormat="1" ht="11.45" customHeight="1">
      <c r="A86" s="917"/>
      <c r="B86" s="1563"/>
      <c r="C86" s="1563"/>
      <c r="D86" s="288"/>
      <c r="L86" s="1087"/>
      <c r="M86" s="1563"/>
      <c r="N86" s="1563"/>
      <c r="O86" s="1087"/>
      <c r="P86" s="1087"/>
      <c r="Q86" s="1087"/>
      <c r="R86" s="1087"/>
      <c r="S86" s="1563"/>
      <c r="T86" s="1087"/>
      <c r="U86" s="1087"/>
      <c r="V86" s="481"/>
      <c r="W86" s="1087"/>
      <c r="X86" s="1087"/>
      <c r="Y86" s="1087"/>
      <c r="Z86" s="1087"/>
      <c r="AA86" s="1087"/>
      <c r="AB86" s="1559"/>
      <c r="AC86" s="503"/>
      <c r="AD86" s="503"/>
      <c r="AE86" s="503"/>
      <c r="AF86" s="503"/>
      <c r="AG86" s="1568">
        <v>11</v>
      </c>
    </row>
    <row r="87" spans="1:33" s="1568" customFormat="1" ht="11.45" customHeight="1">
      <c r="A87" s="917"/>
      <c r="B87" s="1563"/>
      <c r="C87" s="1563"/>
      <c r="D87" s="288"/>
      <c r="L87" s="1087"/>
      <c r="M87" s="1563"/>
      <c r="N87" s="1563"/>
      <c r="O87" s="1087"/>
      <c r="P87" s="1087"/>
      <c r="Q87" s="1087"/>
      <c r="R87" s="1087"/>
      <c r="S87" s="1563"/>
      <c r="T87" s="1087"/>
      <c r="U87" s="1087"/>
      <c r="V87" s="481"/>
      <c r="W87" s="1087"/>
      <c r="X87" s="1087"/>
      <c r="Y87" s="1087"/>
      <c r="Z87" s="1087"/>
      <c r="AA87" s="1087"/>
      <c r="AB87" s="1559"/>
      <c r="AC87" s="503"/>
      <c r="AD87" s="503"/>
      <c r="AE87" s="503"/>
      <c r="AF87" s="503"/>
      <c r="AG87" s="1568">
        <v>11</v>
      </c>
    </row>
    <row r="88" spans="1:33" s="1568" customFormat="1" ht="11.45" customHeight="1">
      <c r="A88" s="917"/>
      <c r="B88" s="1563"/>
      <c r="C88" s="1563"/>
      <c r="D88" s="288"/>
      <c r="L88" s="1087"/>
      <c r="M88" s="1563"/>
      <c r="N88" s="1563"/>
      <c r="O88" s="1087"/>
      <c r="P88" s="1087"/>
      <c r="Q88" s="1087"/>
      <c r="R88" s="1087"/>
      <c r="S88" s="1563"/>
      <c r="T88" s="1087"/>
      <c r="U88" s="1087"/>
      <c r="V88" s="481"/>
      <c r="W88" s="1087"/>
      <c r="X88" s="1087"/>
      <c r="Y88" s="1087"/>
      <c r="Z88" s="1087"/>
      <c r="AA88" s="1087"/>
      <c r="AB88" s="1559"/>
      <c r="AC88" s="503"/>
      <c r="AD88" s="503"/>
      <c r="AE88" s="503"/>
      <c r="AF88" s="503"/>
      <c r="AG88" s="1568">
        <v>11</v>
      </c>
    </row>
    <row r="89" spans="1:33" s="1568" customFormat="1" ht="11.45" customHeight="1">
      <c r="A89" s="917"/>
      <c r="B89" s="1563"/>
      <c r="C89" s="1563"/>
      <c r="D89" s="288"/>
      <c r="L89" s="1087"/>
      <c r="M89" s="1563"/>
      <c r="N89" s="1563"/>
      <c r="O89" s="1087"/>
      <c r="P89" s="1087"/>
      <c r="Q89" s="1087"/>
      <c r="R89" s="1087"/>
      <c r="S89" s="1563"/>
      <c r="T89" s="1087"/>
      <c r="U89" s="1087"/>
      <c r="V89" s="481"/>
      <c r="W89" s="1087"/>
      <c r="X89" s="1087"/>
      <c r="Y89" s="1087"/>
      <c r="Z89" s="1087"/>
      <c r="AA89" s="1087"/>
      <c r="AB89" s="1559"/>
      <c r="AC89" s="503"/>
      <c r="AD89" s="503"/>
      <c r="AE89" s="503"/>
      <c r="AF89" s="503"/>
      <c r="AG89" s="1568">
        <v>11</v>
      </c>
    </row>
    <row r="90" spans="1:33" s="1568" customFormat="1" ht="11.45" customHeight="1">
      <c r="A90" s="917"/>
      <c r="B90" s="1563"/>
      <c r="C90" s="1563"/>
      <c r="D90" s="288"/>
      <c r="L90" s="1087"/>
      <c r="M90" s="1563"/>
      <c r="N90" s="1563"/>
      <c r="O90" s="1087"/>
      <c r="P90" s="1087"/>
      <c r="Q90" s="1087"/>
      <c r="R90" s="1087"/>
      <c r="S90" s="1563"/>
      <c r="T90" s="1087"/>
      <c r="U90" s="1087"/>
      <c r="V90" s="481"/>
      <c r="W90" s="1087"/>
      <c r="X90" s="1087"/>
      <c r="Y90" s="1087"/>
      <c r="Z90" s="1087"/>
      <c r="AA90" s="1087"/>
      <c r="AB90" s="1559"/>
      <c r="AC90" s="503"/>
      <c r="AD90" s="503"/>
      <c r="AE90" s="503"/>
      <c r="AF90" s="503"/>
      <c r="AG90" s="1568">
        <v>11</v>
      </c>
    </row>
    <row r="91" spans="1:33" s="1568" customFormat="1" ht="11.45" customHeight="1">
      <c r="A91" s="917"/>
      <c r="B91" s="1563"/>
      <c r="C91" s="1563"/>
      <c r="D91" s="288"/>
      <c r="L91" s="1087"/>
      <c r="M91" s="1563"/>
      <c r="N91" s="1563"/>
      <c r="O91" s="1087"/>
      <c r="P91" s="1087"/>
      <c r="Q91" s="1087"/>
      <c r="R91" s="1087"/>
      <c r="S91" s="1563"/>
      <c r="T91" s="1087"/>
      <c r="U91" s="1087"/>
      <c r="V91" s="481"/>
      <c r="W91" s="1087"/>
      <c r="X91" s="1087"/>
      <c r="Y91" s="1087"/>
      <c r="Z91" s="1087"/>
      <c r="AA91" s="1087"/>
      <c r="AB91" s="1559"/>
      <c r="AC91" s="503"/>
      <c r="AD91" s="503"/>
      <c r="AE91" s="503"/>
      <c r="AF91" s="503"/>
      <c r="AG91" s="1568">
        <v>11</v>
      </c>
    </row>
    <row r="92" spans="1:33" s="1568" customFormat="1" ht="11.45" customHeight="1">
      <c r="A92" s="917"/>
      <c r="B92" s="1563"/>
      <c r="C92" s="1563"/>
      <c r="D92" s="288"/>
      <c r="L92" s="1087"/>
      <c r="M92" s="1563"/>
      <c r="N92" s="1563"/>
      <c r="O92" s="1087"/>
      <c r="P92" s="1087"/>
      <c r="Q92" s="1087"/>
      <c r="R92" s="1087"/>
      <c r="S92" s="1563"/>
      <c r="T92" s="1087"/>
      <c r="U92" s="1087"/>
      <c r="V92" s="481"/>
      <c r="W92" s="1087"/>
      <c r="X92" s="1087"/>
      <c r="Y92" s="1087"/>
      <c r="Z92" s="1087"/>
      <c r="AA92" s="1087"/>
      <c r="AB92" s="1559"/>
      <c r="AC92" s="503"/>
      <c r="AD92" s="503"/>
      <c r="AE92" s="503"/>
      <c r="AF92" s="503"/>
      <c r="AG92" s="1568">
        <v>11</v>
      </c>
    </row>
    <row r="93" spans="1:33" s="1568" customFormat="1" ht="11.45" customHeight="1">
      <c r="A93" s="917"/>
      <c r="B93" s="1563"/>
      <c r="C93" s="1563"/>
      <c r="D93" s="288"/>
      <c r="L93" s="1087"/>
      <c r="M93" s="1563"/>
      <c r="N93" s="1563"/>
      <c r="O93" s="1087"/>
      <c r="P93" s="1087"/>
      <c r="Q93" s="1087"/>
      <c r="R93" s="1087"/>
      <c r="S93" s="1563"/>
      <c r="T93" s="1087"/>
      <c r="U93" s="1087"/>
      <c r="V93" s="481"/>
      <c r="W93" s="1087"/>
      <c r="X93" s="1087"/>
      <c r="Y93" s="1087"/>
      <c r="Z93" s="1087"/>
      <c r="AA93" s="1087"/>
      <c r="AB93" s="1559"/>
      <c r="AC93" s="503"/>
      <c r="AD93" s="503"/>
      <c r="AE93" s="503"/>
      <c r="AF93" s="503"/>
      <c r="AG93" s="1568">
        <v>11</v>
      </c>
    </row>
    <row r="94" spans="1:33" s="1568" customFormat="1" ht="11.45" customHeight="1">
      <c r="A94" s="917"/>
      <c r="B94" s="1563"/>
      <c r="C94" s="1563"/>
      <c r="D94" s="288"/>
      <c r="L94" s="1087"/>
      <c r="M94" s="1563"/>
      <c r="N94" s="1563"/>
      <c r="O94" s="1087"/>
      <c r="P94" s="1087"/>
      <c r="Q94" s="1087"/>
      <c r="R94" s="1087"/>
      <c r="S94" s="1563"/>
      <c r="T94" s="1087"/>
      <c r="U94" s="1087"/>
      <c r="V94" s="481"/>
      <c r="W94" s="1087"/>
      <c r="X94" s="1087"/>
      <c r="Y94" s="1087"/>
      <c r="Z94" s="1087"/>
      <c r="AA94" s="1087"/>
      <c r="AB94" s="1559"/>
      <c r="AC94" s="503"/>
      <c r="AD94" s="503"/>
      <c r="AE94" s="503"/>
      <c r="AF94" s="503"/>
      <c r="AG94" s="1568">
        <v>11</v>
      </c>
    </row>
    <row r="95" spans="1:33" s="1568" customFormat="1" ht="11.45" customHeight="1">
      <c r="A95" s="917"/>
      <c r="B95" s="1563"/>
      <c r="C95" s="1563"/>
      <c r="D95" s="288"/>
      <c r="L95" s="1087"/>
      <c r="M95" s="1563"/>
      <c r="N95" s="1563"/>
      <c r="O95" s="1087"/>
      <c r="P95" s="1087"/>
      <c r="Q95" s="1087"/>
      <c r="R95" s="1087"/>
      <c r="S95" s="1563"/>
      <c r="T95" s="1087"/>
      <c r="U95" s="1087"/>
      <c r="V95" s="481"/>
      <c r="W95" s="1087"/>
      <c r="X95" s="1087"/>
      <c r="Y95" s="1087"/>
      <c r="Z95" s="1087"/>
      <c r="AA95" s="1087"/>
      <c r="AB95" s="1559"/>
      <c r="AC95" s="503"/>
      <c r="AD95" s="503"/>
      <c r="AE95" s="503"/>
      <c r="AF95" s="503"/>
      <c r="AG95" s="1568">
        <v>11</v>
      </c>
    </row>
    <row r="96" spans="1:33" s="1568" customFormat="1" ht="11.45" customHeight="1">
      <c r="A96" s="917"/>
      <c r="B96" s="1563"/>
      <c r="C96" s="1563"/>
      <c r="D96" s="288"/>
      <c r="L96" s="1087"/>
      <c r="M96" s="1563"/>
      <c r="N96" s="1563"/>
      <c r="O96" s="1087"/>
      <c r="P96" s="1087"/>
      <c r="Q96" s="1087"/>
      <c r="R96" s="1087"/>
      <c r="S96" s="1563"/>
      <c r="T96" s="1087"/>
      <c r="U96" s="1087"/>
      <c r="V96" s="481"/>
      <c r="W96" s="1087"/>
      <c r="X96" s="1087"/>
      <c r="Y96" s="1087"/>
      <c r="Z96" s="1087"/>
      <c r="AA96" s="1087"/>
      <c r="AB96" s="1559"/>
      <c r="AC96" s="503"/>
      <c r="AD96" s="503"/>
      <c r="AE96" s="503"/>
      <c r="AF96" s="503"/>
      <c r="AG96" s="1568">
        <v>11</v>
      </c>
    </row>
    <row r="97" spans="1:33" s="1568" customFormat="1" ht="11.45" customHeight="1">
      <c r="A97" s="917"/>
      <c r="B97" s="1563"/>
      <c r="C97" s="1563"/>
      <c r="D97" s="288"/>
      <c r="L97" s="1087"/>
      <c r="M97" s="1563"/>
      <c r="N97" s="1563"/>
      <c r="O97" s="1087"/>
      <c r="P97" s="1087"/>
      <c r="Q97" s="1087"/>
      <c r="R97" s="1087"/>
      <c r="S97" s="1563"/>
      <c r="T97" s="1087"/>
      <c r="U97" s="1087"/>
      <c r="V97" s="481"/>
      <c r="W97" s="1087"/>
      <c r="X97" s="1087"/>
      <c r="Y97" s="1087"/>
      <c r="Z97" s="1087"/>
      <c r="AA97" s="1087"/>
      <c r="AB97" s="1559"/>
      <c r="AC97" s="503"/>
      <c r="AD97" s="503"/>
      <c r="AE97" s="503"/>
      <c r="AF97" s="503"/>
      <c r="AG97" s="1568">
        <v>11</v>
      </c>
    </row>
    <row r="98" spans="1:33" s="1568" customFormat="1" ht="11.45" customHeight="1">
      <c r="A98" s="917"/>
      <c r="B98" s="1563"/>
      <c r="C98" s="1563"/>
      <c r="D98" s="288"/>
      <c r="L98" s="1087"/>
      <c r="M98" s="1563"/>
      <c r="N98" s="1563"/>
      <c r="O98" s="1087"/>
      <c r="P98" s="1087"/>
      <c r="Q98" s="1087"/>
      <c r="R98" s="1087"/>
      <c r="S98" s="1563"/>
      <c r="T98" s="1087"/>
      <c r="U98" s="1087"/>
      <c r="V98" s="481"/>
      <c r="W98" s="1087"/>
      <c r="X98" s="1087"/>
      <c r="Y98" s="1087"/>
      <c r="Z98" s="1087"/>
      <c r="AA98" s="1087"/>
      <c r="AB98" s="1559"/>
      <c r="AC98" s="503"/>
      <c r="AD98" s="503"/>
      <c r="AE98" s="503"/>
      <c r="AF98" s="503"/>
      <c r="AG98" s="1568">
        <v>11</v>
      </c>
    </row>
    <row r="99" spans="1:33" s="1568" customFormat="1" ht="11.45" customHeight="1">
      <c r="A99" s="917"/>
      <c r="B99" s="1563"/>
      <c r="C99" s="1563"/>
      <c r="D99" s="288"/>
      <c r="L99" s="1087"/>
      <c r="M99" s="1563"/>
      <c r="N99" s="1563"/>
      <c r="O99" s="1087"/>
      <c r="P99" s="1087"/>
      <c r="Q99" s="1087"/>
      <c r="R99" s="1087"/>
      <c r="S99" s="1563"/>
      <c r="T99" s="1087"/>
      <c r="U99" s="1087"/>
      <c r="V99" s="481"/>
      <c r="W99" s="1087"/>
      <c r="X99" s="1087"/>
      <c r="Y99" s="1087"/>
      <c r="Z99" s="1087"/>
      <c r="AA99" s="1087"/>
      <c r="AB99" s="1559"/>
      <c r="AC99" s="503"/>
      <c r="AD99" s="503"/>
      <c r="AE99" s="503"/>
      <c r="AF99" s="503"/>
      <c r="AG99" s="1568">
        <v>11</v>
      </c>
    </row>
    <row r="100" spans="1:33" s="1568" customFormat="1" ht="11.45" customHeight="1">
      <c r="A100" s="917"/>
      <c r="B100" s="1563"/>
      <c r="C100" s="1563"/>
      <c r="D100" s="288"/>
      <c r="L100" s="1087"/>
      <c r="M100" s="1563"/>
      <c r="N100" s="1563"/>
      <c r="O100" s="1087"/>
      <c r="P100" s="1087"/>
      <c r="Q100" s="1087"/>
      <c r="R100" s="1087"/>
      <c r="S100" s="1563"/>
      <c r="T100" s="1087"/>
      <c r="U100" s="1087"/>
      <c r="V100" s="481"/>
      <c r="W100" s="1087"/>
      <c r="X100" s="1087"/>
      <c r="Y100" s="1087"/>
      <c r="Z100" s="1087"/>
      <c r="AA100" s="1087"/>
      <c r="AB100" s="1559"/>
      <c r="AC100" s="503"/>
      <c r="AD100" s="503"/>
      <c r="AE100" s="503"/>
      <c r="AF100" s="503"/>
      <c r="AG100" s="1568">
        <v>11</v>
      </c>
    </row>
    <row r="101" spans="1:33" s="1568" customFormat="1" ht="11.45" customHeight="1">
      <c r="A101" s="917"/>
      <c r="B101" s="1563"/>
      <c r="C101" s="1563"/>
      <c r="D101" s="288"/>
      <c r="L101" s="1087"/>
      <c r="M101" s="1563"/>
      <c r="N101" s="1563"/>
      <c r="O101" s="1087"/>
      <c r="P101" s="1087"/>
      <c r="Q101" s="1087"/>
      <c r="R101" s="1087"/>
      <c r="S101" s="1563"/>
      <c r="T101" s="1087"/>
      <c r="U101" s="1087"/>
      <c r="V101" s="481"/>
      <c r="W101" s="1087"/>
      <c r="X101" s="1087"/>
      <c r="Y101" s="1087"/>
      <c r="Z101" s="1087"/>
      <c r="AA101" s="1087"/>
      <c r="AB101" s="1559"/>
      <c r="AC101" s="503"/>
      <c r="AD101" s="503"/>
      <c r="AE101" s="503"/>
      <c r="AF101" s="503"/>
      <c r="AG101" s="1568">
        <v>11</v>
      </c>
    </row>
    <row r="102" spans="1:33" s="1568" customFormat="1" ht="11.45" customHeight="1">
      <c r="A102" s="917"/>
      <c r="B102" s="1563"/>
      <c r="C102" s="1563"/>
      <c r="D102" s="288"/>
      <c r="L102" s="1087"/>
      <c r="M102" s="1563"/>
      <c r="N102" s="1563"/>
      <c r="O102" s="1087"/>
      <c r="P102" s="1087"/>
      <c r="Q102" s="1087"/>
      <c r="R102" s="1087"/>
      <c r="S102" s="1563"/>
      <c r="T102" s="1087"/>
      <c r="U102" s="1087"/>
      <c r="V102" s="481"/>
      <c r="W102" s="1087"/>
      <c r="X102" s="1087"/>
      <c r="Y102" s="1087"/>
      <c r="Z102" s="1087"/>
      <c r="AA102" s="1087"/>
      <c r="AB102" s="1559"/>
      <c r="AC102" s="503"/>
      <c r="AD102" s="503"/>
      <c r="AE102" s="503"/>
      <c r="AF102" s="503"/>
      <c r="AG102" s="1568">
        <v>11</v>
      </c>
    </row>
    <row r="103" spans="1:33" s="1568" customFormat="1" ht="11.45" customHeight="1">
      <c r="A103" s="917"/>
      <c r="B103" s="1563"/>
      <c r="C103" s="1563"/>
      <c r="D103" s="288"/>
      <c r="L103" s="1087"/>
      <c r="M103" s="1563"/>
      <c r="N103" s="1563"/>
      <c r="O103" s="1087"/>
      <c r="P103" s="1087"/>
      <c r="Q103" s="1087"/>
      <c r="R103" s="1087"/>
      <c r="S103" s="1563"/>
      <c r="T103" s="1087"/>
      <c r="U103" s="1087"/>
      <c r="V103" s="481"/>
      <c r="W103" s="1087"/>
      <c r="X103" s="1087"/>
      <c r="Y103" s="1087"/>
      <c r="Z103" s="1087"/>
      <c r="AA103" s="1087"/>
      <c r="AB103" s="1559"/>
      <c r="AC103" s="503"/>
      <c r="AD103" s="503"/>
      <c r="AE103" s="503"/>
      <c r="AF103" s="503"/>
      <c r="AG103" s="1568">
        <v>11</v>
      </c>
    </row>
    <row r="104" spans="1:33" s="1568" customFormat="1" ht="11.45" customHeight="1">
      <c r="A104" s="917"/>
      <c r="B104" s="1563"/>
      <c r="C104" s="1563"/>
      <c r="D104" s="288"/>
      <c r="L104" s="1087"/>
      <c r="M104" s="1563"/>
      <c r="N104" s="1563"/>
      <c r="O104" s="1087"/>
      <c r="P104" s="1087"/>
      <c r="Q104" s="1087"/>
      <c r="R104" s="1087"/>
      <c r="S104" s="1563"/>
      <c r="T104" s="1087"/>
      <c r="U104" s="1087"/>
      <c r="V104" s="481"/>
      <c r="W104" s="1087"/>
      <c r="X104" s="1087"/>
      <c r="Y104" s="1087"/>
      <c r="Z104" s="1087"/>
      <c r="AA104" s="1087"/>
      <c r="AB104" s="1559"/>
      <c r="AC104" s="503"/>
      <c r="AD104" s="503"/>
      <c r="AE104" s="503"/>
      <c r="AF104" s="503"/>
      <c r="AG104" s="1568">
        <v>11</v>
      </c>
    </row>
    <row r="105" spans="1:33" s="1568" customFormat="1" ht="11.45" customHeight="1">
      <c r="A105" s="917"/>
      <c r="B105" s="1563"/>
      <c r="C105" s="1563"/>
      <c r="D105" s="288"/>
      <c r="L105" s="1087"/>
      <c r="M105" s="1563"/>
      <c r="N105" s="1563"/>
      <c r="O105" s="1087"/>
      <c r="P105" s="1087"/>
      <c r="Q105" s="1087"/>
      <c r="R105" s="1087"/>
      <c r="S105" s="1563"/>
      <c r="T105" s="1087"/>
      <c r="U105" s="1087"/>
      <c r="V105" s="481"/>
      <c r="W105" s="1087"/>
      <c r="X105" s="1087"/>
      <c r="Y105" s="1087"/>
      <c r="Z105" s="1087"/>
      <c r="AA105" s="1087"/>
      <c r="AB105" s="1559"/>
      <c r="AC105" s="503"/>
      <c r="AD105" s="503"/>
      <c r="AE105" s="503"/>
      <c r="AF105" s="503"/>
      <c r="AG105" s="1568">
        <v>11</v>
      </c>
    </row>
    <row r="106" spans="1:33" s="1568" customFormat="1" ht="11.45" customHeight="1">
      <c r="A106" s="917"/>
      <c r="B106" s="1563"/>
      <c r="C106" s="1563"/>
      <c r="D106" s="288"/>
      <c r="L106" s="1087"/>
      <c r="M106" s="1563"/>
      <c r="N106" s="1563"/>
      <c r="O106" s="1087"/>
      <c r="P106" s="1087"/>
      <c r="Q106" s="1087"/>
      <c r="R106" s="1087"/>
      <c r="S106" s="1563"/>
      <c r="T106" s="1087"/>
      <c r="U106" s="1087"/>
      <c r="V106" s="481"/>
      <c r="W106" s="1087"/>
      <c r="X106" s="1087"/>
      <c r="Y106" s="1087"/>
      <c r="Z106" s="1087"/>
      <c r="AA106" s="1087"/>
      <c r="AB106" s="1559"/>
      <c r="AC106" s="503"/>
      <c r="AD106" s="503"/>
      <c r="AE106" s="503"/>
      <c r="AF106" s="503"/>
      <c r="AG106" s="1568">
        <v>11</v>
      </c>
    </row>
    <row r="107" spans="1:33" s="1568" customFormat="1" ht="11.45" customHeight="1">
      <c r="A107" s="917"/>
      <c r="B107" s="1563"/>
      <c r="C107" s="1563"/>
      <c r="D107" s="288"/>
      <c r="L107" s="1087"/>
      <c r="M107" s="1563"/>
      <c r="N107" s="1563"/>
      <c r="O107" s="1087"/>
      <c r="P107" s="1087"/>
      <c r="Q107" s="1087"/>
      <c r="R107" s="1087"/>
      <c r="S107" s="1563"/>
      <c r="T107" s="1087"/>
      <c r="U107" s="1087"/>
      <c r="V107" s="481"/>
      <c r="W107" s="1087"/>
      <c r="X107" s="1087"/>
      <c r="Y107" s="1087"/>
      <c r="Z107" s="1087"/>
      <c r="AA107" s="1087"/>
      <c r="AB107" s="1559"/>
      <c r="AC107" s="503"/>
      <c r="AD107" s="503"/>
      <c r="AE107" s="503"/>
      <c r="AF107" s="503"/>
      <c r="AG107" s="1568">
        <v>11</v>
      </c>
    </row>
    <row r="108" spans="1:33" s="1568" customFormat="1" ht="11.45" customHeight="1">
      <c r="A108" s="917"/>
      <c r="B108" s="1563"/>
      <c r="C108" s="1563"/>
      <c r="D108" s="288"/>
      <c r="L108" s="1087"/>
      <c r="M108" s="1563"/>
      <c r="N108" s="1563"/>
      <c r="O108" s="1087"/>
      <c r="P108" s="1087"/>
      <c r="Q108" s="1087"/>
      <c r="R108" s="1087"/>
      <c r="S108" s="1563"/>
      <c r="T108" s="1087"/>
      <c r="U108" s="1087"/>
      <c r="V108" s="481"/>
      <c r="W108" s="1087"/>
      <c r="X108" s="1087"/>
      <c r="Y108" s="1087"/>
      <c r="Z108" s="1087"/>
      <c r="AA108" s="1087"/>
      <c r="AB108" s="1559"/>
      <c r="AC108" s="503"/>
      <c r="AD108" s="503"/>
      <c r="AE108" s="503"/>
      <c r="AF108" s="503"/>
      <c r="AG108" s="1568">
        <v>11</v>
      </c>
    </row>
    <row r="109" spans="1:33" s="1568" customFormat="1" ht="11.45" customHeight="1">
      <c r="A109" s="917"/>
      <c r="B109" s="1563"/>
      <c r="C109" s="1563"/>
      <c r="D109" s="288"/>
      <c r="L109" s="1087"/>
      <c r="M109" s="1563"/>
      <c r="N109" s="1563"/>
      <c r="O109" s="1087"/>
      <c r="P109" s="1087"/>
      <c r="Q109" s="1087"/>
      <c r="R109" s="1087"/>
      <c r="S109" s="1563"/>
      <c r="T109" s="1087"/>
      <c r="U109" s="1087"/>
      <c r="V109" s="481"/>
      <c r="W109" s="1087"/>
      <c r="X109" s="1087"/>
      <c r="Y109" s="1087"/>
      <c r="Z109" s="1087"/>
      <c r="AA109" s="1087"/>
      <c r="AB109" s="1559"/>
      <c r="AC109" s="503"/>
      <c r="AD109" s="503"/>
      <c r="AE109" s="503"/>
      <c r="AF109" s="503"/>
      <c r="AG109" s="1568">
        <v>11</v>
      </c>
    </row>
    <row r="110" spans="1:33" s="1568" customFormat="1" ht="11.45" customHeight="1">
      <c r="A110" s="917"/>
      <c r="B110" s="1563"/>
      <c r="C110" s="1563"/>
      <c r="D110" s="288"/>
      <c r="L110" s="1087"/>
      <c r="M110" s="1563"/>
      <c r="N110" s="1563"/>
      <c r="O110" s="1087"/>
      <c r="P110" s="1087"/>
      <c r="Q110" s="1087"/>
      <c r="R110" s="1087"/>
      <c r="S110" s="1563"/>
      <c r="T110" s="1087"/>
      <c r="U110" s="1087"/>
      <c r="V110" s="481"/>
      <c r="W110" s="1087"/>
      <c r="X110" s="1087"/>
      <c r="Y110" s="1087"/>
      <c r="Z110" s="1087"/>
      <c r="AA110" s="1087"/>
      <c r="AB110" s="1559"/>
      <c r="AC110" s="503"/>
      <c r="AD110" s="503"/>
      <c r="AE110" s="503"/>
      <c r="AF110" s="503"/>
      <c r="AG110" s="1568">
        <v>11</v>
      </c>
    </row>
    <row r="111" spans="1:33" s="1568" customFormat="1" ht="11.45" customHeight="1">
      <c r="A111" s="917"/>
      <c r="B111" s="1563"/>
      <c r="C111" s="1563"/>
      <c r="D111" s="288"/>
      <c r="L111" s="1087"/>
      <c r="M111" s="1563"/>
      <c r="N111" s="1563"/>
      <c r="O111" s="1087"/>
      <c r="P111" s="1087"/>
      <c r="Q111" s="1087"/>
      <c r="R111" s="1087"/>
      <c r="S111" s="1563"/>
      <c r="T111" s="1087"/>
      <c r="U111" s="1087"/>
      <c r="V111" s="481"/>
      <c r="W111" s="1087"/>
      <c r="X111" s="1087"/>
      <c r="Y111" s="1087"/>
      <c r="Z111" s="1087"/>
      <c r="AA111" s="1087"/>
      <c r="AB111" s="1559"/>
      <c r="AC111" s="503"/>
      <c r="AD111" s="503"/>
      <c r="AE111" s="503"/>
      <c r="AF111" s="503"/>
      <c r="AG111" s="1568">
        <v>11</v>
      </c>
    </row>
    <row r="112" spans="1:33" s="1568" customFormat="1" ht="11.45" customHeight="1">
      <c r="A112" s="917"/>
      <c r="B112" s="1563"/>
      <c r="C112" s="1563"/>
      <c r="D112" s="288"/>
      <c r="L112" s="1087"/>
      <c r="M112" s="1563"/>
      <c r="N112" s="1563"/>
      <c r="O112" s="1087"/>
      <c r="P112" s="1087"/>
      <c r="Q112" s="1087"/>
      <c r="R112" s="1087"/>
      <c r="S112" s="1563"/>
      <c r="T112" s="1087"/>
      <c r="U112" s="1087"/>
      <c r="V112" s="481"/>
      <c r="W112" s="1087"/>
      <c r="X112" s="1087"/>
      <c r="Y112" s="1087"/>
      <c r="Z112" s="1087"/>
      <c r="AA112" s="1087"/>
      <c r="AB112" s="1559"/>
      <c r="AC112" s="503"/>
      <c r="AD112" s="503"/>
      <c r="AE112" s="503"/>
      <c r="AF112" s="503"/>
      <c r="AG112" s="1568">
        <v>11</v>
      </c>
    </row>
    <row r="113" spans="1:33" s="1568" customFormat="1" ht="11.45" customHeight="1">
      <c r="A113" s="917"/>
      <c r="B113" s="1563"/>
      <c r="C113" s="1563"/>
      <c r="D113" s="288"/>
      <c r="L113" s="1087"/>
      <c r="M113" s="1563"/>
      <c r="N113" s="1563"/>
      <c r="O113" s="1087"/>
      <c r="P113" s="1087"/>
      <c r="Q113" s="1087"/>
      <c r="R113" s="1087"/>
      <c r="S113" s="1563"/>
      <c r="T113" s="1087"/>
      <c r="U113" s="1087"/>
      <c r="V113" s="481"/>
      <c r="W113" s="1087"/>
      <c r="X113" s="1087"/>
      <c r="Y113" s="1087"/>
      <c r="Z113" s="1087"/>
      <c r="AA113" s="1087"/>
      <c r="AB113" s="1559"/>
      <c r="AC113" s="503"/>
      <c r="AD113" s="503"/>
      <c r="AE113" s="503"/>
      <c r="AF113" s="503"/>
      <c r="AG113" s="1568">
        <v>11</v>
      </c>
    </row>
    <row r="114" spans="1:33" s="1568" customFormat="1" ht="11.45" customHeight="1">
      <c r="A114" s="917"/>
      <c r="B114" s="1563"/>
      <c r="C114" s="1563"/>
      <c r="D114" s="288"/>
      <c r="L114" s="1087"/>
      <c r="M114" s="1563"/>
      <c r="N114" s="1563"/>
      <c r="O114" s="1087"/>
      <c r="P114" s="1087"/>
      <c r="Q114" s="1087"/>
      <c r="R114" s="1087"/>
      <c r="S114" s="1563"/>
      <c r="T114" s="1087"/>
      <c r="U114" s="1087"/>
      <c r="V114" s="481"/>
      <c r="W114" s="1087"/>
      <c r="X114" s="1087"/>
      <c r="Y114" s="1087"/>
      <c r="Z114" s="1087"/>
      <c r="AA114" s="1087"/>
      <c r="AB114" s="1559"/>
      <c r="AC114" s="503"/>
      <c r="AD114" s="503"/>
      <c r="AE114" s="503"/>
      <c r="AF114" s="503"/>
      <c r="AG114" s="1568">
        <v>11</v>
      </c>
    </row>
    <row r="115" spans="1:33" s="1568" customFormat="1" ht="11.45" customHeight="1">
      <c r="A115" s="917"/>
      <c r="B115" s="1563"/>
      <c r="C115" s="1563"/>
      <c r="D115" s="288"/>
      <c r="L115" s="1087"/>
      <c r="M115" s="1563"/>
      <c r="N115" s="1563"/>
      <c r="O115" s="1087"/>
      <c r="P115" s="1087"/>
      <c r="Q115" s="1087"/>
      <c r="R115" s="1087"/>
      <c r="S115" s="1563"/>
      <c r="T115" s="1087"/>
      <c r="U115" s="1087"/>
      <c r="V115" s="481"/>
      <c r="W115" s="1087"/>
      <c r="X115" s="1087"/>
      <c r="Y115" s="1087"/>
      <c r="Z115" s="1087"/>
      <c r="AA115" s="1087"/>
      <c r="AB115" s="1559"/>
      <c r="AC115" s="503"/>
      <c r="AD115" s="503"/>
      <c r="AE115" s="503"/>
      <c r="AF115" s="503"/>
      <c r="AG115" s="1568">
        <v>11</v>
      </c>
    </row>
    <row r="116" spans="1:33" s="1568" customFormat="1" ht="11.45" customHeight="1">
      <c r="A116" s="917"/>
      <c r="B116" s="1563"/>
      <c r="C116" s="1563"/>
      <c r="D116" s="288"/>
      <c r="L116" s="1087"/>
      <c r="M116" s="1563"/>
      <c r="N116" s="1563"/>
      <c r="O116" s="1087"/>
      <c r="P116" s="1087"/>
      <c r="Q116" s="1087"/>
      <c r="R116" s="1087"/>
      <c r="S116" s="1563"/>
      <c r="T116" s="1087"/>
      <c r="U116" s="1087"/>
      <c r="V116" s="481"/>
      <c r="W116" s="1087"/>
      <c r="X116" s="1087"/>
      <c r="Y116" s="1087"/>
      <c r="Z116" s="1087"/>
      <c r="AA116" s="1087"/>
      <c r="AB116" s="1559"/>
      <c r="AC116" s="503"/>
      <c r="AD116" s="503"/>
      <c r="AE116" s="503"/>
      <c r="AF116" s="503"/>
      <c r="AG116" s="1568">
        <v>11</v>
      </c>
    </row>
    <row r="117" spans="1:33" s="1568" customFormat="1" ht="11.45" customHeight="1">
      <c r="A117" s="917"/>
      <c r="B117" s="1563"/>
      <c r="C117" s="1563"/>
      <c r="D117" s="288"/>
      <c r="L117" s="1087"/>
      <c r="M117" s="1563"/>
      <c r="N117" s="1563"/>
      <c r="O117" s="1087"/>
      <c r="P117" s="1087"/>
      <c r="Q117" s="1087"/>
      <c r="R117" s="1087"/>
      <c r="S117" s="1563"/>
      <c r="T117" s="1087"/>
      <c r="U117" s="1087"/>
      <c r="V117" s="481"/>
      <c r="W117" s="1087"/>
      <c r="X117" s="1087"/>
      <c r="Y117" s="1087"/>
      <c r="Z117" s="1087"/>
      <c r="AA117" s="1087"/>
      <c r="AB117" s="1559"/>
      <c r="AC117" s="503"/>
      <c r="AD117" s="503"/>
      <c r="AE117" s="503"/>
      <c r="AF117" s="503"/>
      <c r="AG117" s="1568">
        <v>11</v>
      </c>
    </row>
    <row r="118" spans="1:33" s="1568" customFormat="1" ht="11.45" customHeight="1">
      <c r="A118" s="917"/>
      <c r="B118" s="1563"/>
      <c r="C118" s="1563"/>
      <c r="D118" s="288"/>
      <c r="L118" s="1087"/>
      <c r="M118" s="1563"/>
      <c r="N118" s="1563"/>
      <c r="O118" s="1087"/>
      <c r="P118" s="1087"/>
      <c r="Q118" s="1087"/>
      <c r="R118" s="1087"/>
      <c r="S118" s="1563"/>
      <c r="T118" s="1087"/>
      <c r="U118" s="1087"/>
      <c r="V118" s="481"/>
      <c r="W118" s="1087"/>
      <c r="X118" s="1087"/>
      <c r="Y118" s="1087"/>
      <c r="Z118" s="1087"/>
      <c r="AA118" s="1087"/>
      <c r="AB118" s="1559"/>
      <c r="AC118" s="503"/>
      <c r="AD118" s="503"/>
      <c r="AE118" s="503"/>
      <c r="AF118" s="503"/>
      <c r="AG118" s="1568">
        <v>11</v>
      </c>
    </row>
    <row r="119" spans="1:33" s="1568" customFormat="1" ht="11.45" customHeight="1">
      <c r="A119" s="917"/>
      <c r="B119" s="1563"/>
      <c r="C119" s="1563"/>
      <c r="D119" s="288"/>
      <c r="L119" s="1087"/>
      <c r="M119" s="1563"/>
      <c r="N119" s="1563"/>
      <c r="O119" s="1087"/>
      <c r="P119" s="1087"/>
      <c r="Q119" s="1087"/>
      <c r="R119" s="1087"/>
      <c r="S119" s="1563"/>
      <c r="T119" s="1087"/>
      <c r="U119" s="1087"/>
      <c r="V119" s="481"/>
      <c r="W119" s="1087"/>
      <c r="X119" s="1087"/>
      <c r="Y119" s="1087"/>
      <c r="Z119" s="1087"/>
      <c r="AA119" s="1087"/>
      <c r="AB119" s="1559"/>
      <c r="AC119" s="503"/>
      <c r="AD119" s="503"/>
      <c r="AE119" s="503"/>
      <c r="AF119" s="503"/>
      <c r="AG119" s="1568">
        <v>11</v>
      </c>
    </row>
    <row r="120" spans="1:33" s="1568" customFormat="1" ht="11.45" customHeight="1">
      <c r="A120" s="917"/>
      <c r="B120" s="1563"/>
      <c r="C120" s="1563"/>
      <c r="D120" s="288"/>
      <c r="L120" s="1087"/>
      <c r="M120" s="1563"/>
      <c r="N120" s="1563"/>
      <c r="O120" s="1087"/>
      <c r="P120" s="1087"/>
      <c r="Q120" s="1087"/>
      <c r="R120" s="1087"/>
      <c r="S120" s="1563"/>
      <c r="T120" s="1087"/>
      <c r="U120" s="1087"/>
      <c r="V120" s="481"/>
      <c r="W120" s="1087"/>
      <c r="X120" s="1087"/>
      <c r="Y120" s="1087"/>
      <c r="Z120" s="1087"/>
      <c r="AA120" s="1087"/>
      <c r="AB120" s="1559"/>
      <c r="AC120" s="503"/>
      <c r="AD120" s="503"/>
      <c r="AE120" s="503"/>
      <c r="AF120" s="503"/>
      <c r="AG120" s="1568">
        <v>11</v>
      </c>
    </row>
    <row r="121" spans="1:33" s="1568" customFormat="1" ht="11.45" customHeight="1">
      <c r="A121" s="917"/>
      <c r="B121" s="1563"/>
      <c r="C121" s="1563"/>
      <c r="D121" s="288"/>
      <c r="L121" s="1087"/>
      <c r="M121" s="1563"/>
      <c r="N121" s="1563"/>
      <c r="O121" s="1087"/>
      <c r="P121" s="1087"/>
      <c r="Q121" s="1087"/>
      <c r="R121" s="1087"/>
      <c r="S121" s="1563"/>
      <c r="T121" s="1087"/>
      <c r="U121" s="1087"/>
      <c r="V121" s="481"/>
      <c r="W121" s="1087"/>
      <c r="X121" s="1087"/>
      <c r="Y121" s="1087"/>
      <c r="Z121" s="1087"/>
      <c r="AA121" s="1087"/>
      <c r="AB121" s="1559"/>
      <c r="AC121" s="503"/>
      <c r="AD121" s="503"/>
      <c r="AE121" s="503"/>
      <c r="AF121" s="503"/>
      <c r="AG121" s="1568">
        <v>11</v>
      </c>
    </row>
    <row r="122" spans="1:33" s="1568" customFormat="1" ht="11.45" customHeight="1">
      <c r="A122" s="917"/>
      <c r="B122" s="1563"/>
      <c r="C122" s="1563"/>
      <c r="D122" s="288"/>
      <c r="L122" s="1087"/>
      <c r="M122" s="1563"/>
      <c r="N122" s="1563"/>
      <c r="O122" s="1087"/>
      <c r="P122" s="1087"/>
      <c r="Q122" s="1087"/>
      <c r="R122" s="1087"/>
      <c r="S122" s="1563"/>
      <c r="T122" s="1087"/>
      <c r="U122" s="1087"/>
      <c r="V122" s="481"/>
      <c r="W122" s="1087"/>
      <c r="X122" s="1087"/>
      <c r="Y122" s="1087"/>
      <c r="Z122" s="1087"/>
      <c r="AA122" s="1087"/>
      <c r="AB122" s="1559"/>
      <c r="AC122" s="503"/>
      <c r="AD122" s="503"/>
      <c r="AE122" s="503"/>
      <c r="AF122" s="503"/>
      <c r="AG122" s="1568">
        <v>11</v>
      </c>
    </row>
    <row r="123" spans="1:33" s="1568" customFormat="1" ht="11.45" customHeight="1">
      <c r="A123" s="917"/>
      <c r="B123" s="1563"/>
      <c r="C123" s="1563"/>
      <c r="D123" s="288"/>
      <c r="L123" s="1087"/>
      <c r="M123" s="1563"/>
      <c r="N123" s="1563"/>
      <c r="O123" s="1087"/>
      <c r="P123" s="1087"/>
      <c r="Q123" s="1087"/>
      <c r="R123" s="1087"/>
      <c r="S123" s="1563"/>
      <c r="T123" s="1087"/>
      <c r="U123" s="1087"/>
      <c r="V123" s="481"/>
      <c r="W123" s="1087"/>
      <c r="X123" s="1087"/>
      <c r="Y123" s="1087"/>
      <c r="Z123" s="1087"/>
      <c r="AA123" s="1087"/>
      <c r="AB123" s="1559"/>
      <c r="AC123" s="503"/>
      <c r="AD123" s="503"/>
      <c r="AE123" s="503"/>
      <c r="AF123" s="503"/>
      <c r="AG123" s="1568">
        <v>11</v>
      </c>
    </row>
    <row r="124" spans="1:33" s="1568" customFormat="1" ht="11.45" customHeight="1">
      <c r="A124" s="917"/>
      <c r="B124" s="1563"/>
      <c r="C124" s="1563"/>
      <c r="D124" s="288"/>
      <c r="L124" s="1087"/>
      <c r="M124" s="1563"/>
      <c r="N124" s="1563"/>
      <c r="O124" s="1087"/>
      <c r="P124" s="1087"/>
      <c r="Q124" s="1087"/>
      <c r="R124" s="1087"/>
      <c r="S124" s="1563"/>
      <c r="T124" s="1087"/>
      <c r="U124" s="1087"/>
      <c r="V124" s="481"/>
      <c r="W124" s="1087"/>
      <c r="X124" s="1087"/>
      <c r="Y124" s="1087"/>
      <c r="Z124" s="1087"/>
      <c r="AA124" s="1087"/>
      <c r="AB124" s="1559"/>
      <c r="AC124" s="503"/>
      <c r="AD124" s="503"/>
      <c r="AE124" s="503"/>
      <c r="AF124" s="503"/>
      <c r="AG124" s="1568">
        <v>11</v>
      </c>
    </row>
    <row r="125" spans="1:33" s="1568" customFormat="1" ht="11.45" customHeight="1">
      <c r="A125" s="917"/>
      <c r="B125" s="1563"/>
      <c r="C125" s="1563"/>
      <c r="D125" s="288"/>
      <c r="L125" s="1087"/>
      <c r="M125" s="1563"/>
      <c r="N125" s="1563"/>
      <c r="O125" s="1087"/>
      <c r="P125" s="1087"/>
      <c r="Q125" s="1087"/>
      <c r="R125" s="1087"/>
      <c r="S125" s="1563"/>
      <c r="T125" s="1087"/>
      <c r="U125" s="1087"/>
      <c r="V125" s="481"/>
      <c r="W125" s="1087"/>
      <c r="X125" s="1087"/>
      <c r="Y125" s="1087"/>
      <c r="Z125" s="1087"/>
      <c r="AA125" s="1087"/>
      <c r="AB125" s="1559"/>
      <c r="AC125" s="503"/>
      <c r="AD125" s="503"/>
      <c r="AE125" s="503"/>
      <c r="AF125" s="503"/>
      <c r="AG125" s="1568">
        <v>11</v>
      </c>
    </row>
    <row r="126" spans="1:33" s="1568" customFormat="1" ht="11.45" customHeight="1">
      <c r="A126" s="917"/>
      <c r="B126" s="1563"/>
      <c r="C126" s="1563"/>
      <c r="D126" s="288"/>
      <c r="L126" s="1087"/>
      <c r="M126" s="1563"/>
      <c r="N126" s="1563"/>
      <c r="O126" s="1087"/>
      <c r="P126" s="1087"/>
      <c r="Q126" s="1087"/>
      <c r="R126" s="1087"/>
      <c r="S126" s="1563"/>
      <c r="T126" s="1087"/>
      <c r="U126" s="1087"/>
      <c r="V126" s="481"/>
      <c r="W126" s="1087"/>
      <c r="X126" s="1087"/>
      <c r="Y126" s="1087"/>
      <c r="Z126" s="1087"/>
      <c r="AA126" s="1087"/>
      <c r="AB126" s="1559"/>
      <c r="AC126" s="503"/>
      <c r="AD126" s="503"/>
      <c r="AE126" s="503"/>
      <c r="AF126" s="503"/>
      <c r="AG126" s="1568">
        <v>11</v>
      </c>
    </row>
    <row r="127" spans="1:33" s="1568" customFormat="1" ht="11.45" customHeight="1">
      <c r="A127" s="917"/>
      <c r="B127" s="1563"/>
      <c r="C127" s="1563"/>
      <c r="D127" s="288"/>
      <c r="L127" s="1087"/>
      <c r="M127" s="1563"/>
      <c r="N127" s="1563"/>
      <c r="O127" s="1087"/>
      <c r="P127" s="1087"/>
      <c r="Q127" s="1087"/>
      <c r="R127" s="1087"/>
      <c r="S127" s="1563"/>
      <c r="T127" s="1087"/>
      <c r="U127" s="1087"/>
      <c r="V127" s="481"/>
      <c r="W127" s="1087"/>
      <c r="X127" s="1087"/>
      <c r="Y127" s="1087"/>
      <c r="Z127" s="1087"/>
      <c r="AA127" s="1087"/>
      <c r="AB127" s="1559"/>
      <c r="AC127" s="503"/>
      <c r="AD127" s="503"/>
      <c r="AE127" s="503"/>
      <c r="AF127" s="503"/>
      <c r="AG127" s="1568">
        <v>11</v>
      </c>
    </row>
    <row r="128" spans="1:33" s="1568" customFormat="1" ht="11.45" customHeight="1">
      <c r="A128" s="917"/>
      <c r="B128" s="1563"/>
      <c r="C128" s="1563"/>
      <c r="D128" s="288"/>
      <c r="L128" s="1087"/>
      <c r="M128" s="1563"/>
      <c r="N128" s="1563"/>
      <c r="O128" s="1087"/>
      <c r="P128" s="1087"/>
      <c r="Q128" s="1087"/>
      <c r="R128" s="1087"/>
      <c r="S128" s="1563"/>
      <c r="T128" s="1087"/>
      <c r="U128" s="1087"/>
      <c r="V128" s="481"/>
      <c r="W128" s="1087"/>
      <c r="X128" s="1087"/>
      <c r="Y128" s="1087"/>
      <c r="Z128" s="1087"/>
      <c r="AA128" s="1087"/>
      <c r="AB128" s="1559"/>
      <c r="AC128" s="503"/>
      <c r="AD128" s="503"/>
      <c r="AE128" s="503"/>
      <c r="AF128" s="503"/>
      <c r="AG128" s="1568">
        <v>11</v>
      </c>
    </row>
    <row r="129" spans="1:33" s="1568" customFormat="1" ht="11.45" customHeight="1">
      <c r="A129" s="917"/>
      <c r="B129" s="1563"/>
      <c r="C129" s="1563"/>
      <c r="D129" s="288"/>
      <c r="L129" s="1087"/>
      <c r="M129" s="1563"/>
      <c r="N129" s="1563"/>
      <c r="O129" s="1087"/>
      <c r="P129" s="1087"/>
      <c r="Q129" s="1087"/>
      <c r="R129" s="1087"/>
      <c r="S129" s="1563"/>
      <c r="T129" s="1087"/>
      <c r="U129" s="1087"/>
      <c r="V129" s="481"/>
      <c r="W129" s="1087"/>
      <c r="X129" s="1087"/>
      <c r="Y129" s="1087"/>
      <c r="Z129" s="1087"/>
      <c r="AA129" s="1087"/>
      <c r="AB129" s="1559"/>
      <c r="AC129" s="503"/>
      <c r="AD129" s="503"/>
      <c r="AE129" s="503"/>
      <c r="AF129" s="503"/>
      <c r="AG129" s="1568">
        <v>11</v>
      </c>
    </row>
    <row r="130" spans="1:33" s="1568" customFormat="1" ht="11.45" customHeight="1">
      <c r="A130" s="917"/>
      <c r="B130" s="1563"/>
      <c r="C130" s="1563"/>
      <c r="D130" s="288"/>
      <c r="L130" s="1087"/>
      <c r="M130" s="1563"/>
      <c r="N130" s="1563"/>
      <c r="O130" s="1087"/>
      <c r="P130" s="1087"/>
      <c r="Q130" s="1087"/>
      <c r="R130" s="1087"/>
      <c r="S130" s="1563"/>
      <c r="T130" s="1087"/>
      <c r="U130" s="1087"/>
      <c r="V130" s="481"/>
      <c r="W130" s="1087"/>
      <c r="X130" s="1087"/>
      <c r="Y130" s="1087"/>
      <c r="Z130" s="1087"/>
      <c r="AA130" s="1087"/>
      <c r="AB130" s="1559"/>
      <c r="AC130" s="503"/>
      <c r="AD130" s="503"/>
      <c r="AE130" s="503"/>
      <c r="AF130" s="503"/>
      <c r="AG130" s="1568">
        <v>11</v>
      </c>
    </row>
    <row r="131" spans="1:33" s="1568" customFormat="1" ht="11.45" customHeight="1">
      <c r="A131" s="917"/>
      <c r="B131" s="1563"/>
      <c r="C131" s="1563"/>
      <c r="D131" s="288"/>
      <c r="L131" s="1087"/>
      <c r="M131" s="1563"/>
      <c r="N131" s="1563"/>
      <c r="O131" s="1087"/>
      <c r="P131" s="1087"/>
      <c r="Q131" s="1087"/>
      <c r="R131" s="1087"/>
      <c r="S131" s="1563"/>
      <c r="T131" s="1087"/>
      <c r="U131" s="1087"/>
      <c r="V131" s="481"/>
      <c r="W131" s="1087"/>
      <c r="X131" s="1087"/>
      <c r="Y131" s="1087"/>
      <c r="Z131" s="1087"/>
      <c r="AA131" s="1087"/>
      <c r="AB131" s="1559"/>
      <c r="AC131" s="503"/>
      <c r="AD131" s="503"/>
      <c r="AE131" s="503"/>
      <c r="AF131" s="503"/>
      <c r="AG131" s="1568">
        <v>11</v>
      </c>
    </row>
    <row r="132" spans="1:33" s="1568" customFormat="1" ht="11.45" customHeight="1">
      <c r="A132" s="917"/>
      <c r="B132" s="1563"/>
      <c r="C132" s="1563"/>
      <c r="D132" s="288"/>
      <c r="L132" s="1087"/>
      <c r="M132" s="1563"/>
      <c r="N132" s="1563"/>
      <c r="O132" s="1087"/>
      <c r="P132" s="1087"/>
      <c r="Q132" s="1087"/>
      <c r="R132" s="1087"/>
      <c r="S132" s="1563"/>
      <c r="T132" s="1087"/>
      <c r="U132" s="1087"/>
      <c r="V132" s="481"/>
      <c r="W132" s="1087"/>
      <c r="X132" s="1087"/>
      <c r="Y132" s="1087"/>
      <c r="Z132" s="1087"/>
      <c r="AA132" s="1087"/>
      <c r="AB132" s="1559"/>
      <c r="AC132" s="503"/>
      <c r="AD132" s="503"/>
      <c r="AE132" s="503"/>
      <c r="AF132" s="503"/>
      <c r="AG132" s="1568">
        <v>11</v>
      </c>
    </row>
    <row r="133" spans="1:33" s="1568" customFormat="1" ht="11.45" customHeight="1">
      <c r="A133" s="917"/>
      <c r="B133" s="1563"/>
      <c r="C133" s="1563"/>
      <c r="D133" s="288"/>
      <c r="L133" s="1087"/>
      <c r="M133" s="1563"/>
      <c r="N133" s="1563"/>
      <c r="O133" s="1087"/>
      <c r="P133" s="1087"/>
      <c r="Q133" s="1087"/>
      <c r="R133" s="1087"/>
      <c r="S133" s="1563"/>
      <c r="T133" s="1087"/>
      <c r="U133" s="1087"/>
      <c r="V133" s="481"/>
      <c r="W133" s="1087"/>
      <c r="X133" s="1087"/>
      <c r="Y133" s="1087"/>
      <c r="Z133" s="1087"/>
      <c r="AA133" s="1087"/>
      <c r="AB133" s="1559"/>
      <c r="AC133" s="503"/>
      <c r="AD133" s="503"/>
      <c r="AE133" s="503"/>
      <c r="AF133" s="503"/>
      <c r="AG133" s="1568">
        <v>11</v>
      </c>
    </row>
    <row r="134" spans="1:33" s="1568" customFormat="1" ht="11.45" customHeight="1">
      <c r="A134" s="917"/>
      <c r="B134" s="1563"/>
      <c r="C134" s="1563"/>
      <c r="D134" s="288"/>
      <c r="L134" s="1087"/>
      <c r="M134" s="1563"/>
      <c r="N134" s="1563"/>
      <c r="O134" s="1087"/>
      <c r="P134" s="1087"/>
      <c r="Q134" s="1087"/>
      <c r="R134" s="1087"/>
      <c r="S134" s="1563"/>
      <c r="T134" s="1087"/>
      <c r="U134" s="1087"/>
      <c r="V134" s="481"/>
      <c r="W134" s="1087"/>
      <c r="X134" s="1087"/>
      <c r="Y134" s="1087"/>
      <c r="Z134" s="1087"/>
      <c r="AA134" s="1087"/>
      <c r="AB134" s="1559"/>
      <c r="AC134" s="503"/>
      <c r="AD134" s="503"/>
      <c r="AE134" s="503"/>
      <c r="AF134" s="503"/>
      <c r="AG134" s="1568">
        <v>11</v>
      </c>
    </row>
    <row r="135" spans="1:33" s="1568" customFormat="1" ht="11.45" customHeight="1">
      <c r="A135" s="917"/>
      <c r="B135" s="1563"/>
      <c r="C135" s="1563"/>
      <c r="D135" s="288"/>
      <c r="L135" s="1087"/>
      <c r="M135" s="1563"/>
      <c r="N135" s="1563"/>
      <c r="O135" s="1087"/>
      <c r="P135" s="1087"/>
      <c r="Q135" s="1087"/>
      <c r="R135" s="1087"/>
      <c r="S135" s="1563"/>
      <c r="T135" s="1087"/>
      <c r="U135" s="1087"/>
      <c r="V135" s="481"/>
      <c r="W135" s="1087"/>
      <c r="X135" s="1087"/>
      <c r="Y135" s="1087"/>
      <c r="Z135" s="1087"/>
      <c r="AA135" s="1087"/>
      <c r="AB135" s="1559"/>
      <c r="AC135" s="503"/>
      <c r="AD135" s="503"/>
      <c r="AE135" s="503"/>
      <c r="AF135" s="503"/>
      <c r="AG135" s="1568">
        <v>11</v>
      </c>
    </row>
    <row r="136" spans="1:33" s="1568" customFormat="1" ht="11.45" customHeight="1">
      <c r="A136" s="917"/>
      <c r="B136" s="1563"/>
      <c r="C136" s="1563"/>
      <c r="D136" s="288"/>
      <c r="L136" s="1087"/>
      <c r="M136" s="1563"/>
      <c r="N136" s="1563"/>
      <c r="O136" s="1087"/>
      <c r="P136" s="1087"/>
      <c r="Q136" s="1087"/>
      <c r="R136" s="1087"/>
      <c r="S136" s="1563"/>
      <c r="T136" s="1087"/>
      <c r="U136" s="1087"/>
      <c r="V136" s="481"/>
      <c r="W136" s="1087"/>
      <c r="X136" s="1087"/>
      <c r="Y136" s="1087"/>
      <c r="Z136" s="1087"/>
      <c r="AA136" s="1087"/>
      <c r="AB136" s="1559"/>
      <c r="AC136" s="503"/>
      <c r="AD136" s="503"/>
      <c r="AE136" s="503"/>
      <c r="AF136" s="503"/>
      <c r="AG136" s="1568">
        <v>11</v>
      </c>
    </row>
    <row r="137" spans="1:33" s="1568" customFormat="1" ht="11.45" customHeight="1">
      <c r="A137" s="917"/>
      <c r="B137" s="1563"/>
      <c r="C137" s="1563"/>
      <c r="D137" s="288"/>
      <c r="L137" s="1087"/>
      <c r="M137" s="1563"/>
      <c r="N137" s="1563"/>
      <c r="O137" s="1087"/>
      <c r="P137" s="1087"/>
      <c r="Q137" s="1087"/>
      <c r="R137" s="1087"/>
      <c r="S137" s="1563"/>
      <c r="T137" s="1087"/>
      <c r="U137" s="1087"/>
      <c r="V137" s="481"/>
      <c r="W137" s="1087"/>
      <c r="X137" s="1087"/>
      <c r="Y137" s="1087"/>
      <c r="Z137" s="1087"/>
      <c r="AA137" s="1087"/>
      <c r="AB137" s="1559"/>
      <c r="AC137" s="503"/>
      <c r="AD137" s="503"/>
      <c r="AE137" s="503"/>
      <c r="AF137" s="503"/>
      <c r="AG137" s="1568">
        <v>11</v>
      </c>
    </row>
    <row r="138" spans="1:33" s="1568" customFormat="1" ht="11.45" customHeight="1">
      <c r="A138" s="917"/>
      <c r="B138" s="1563"/>
      <c r="C138" s="1563"/>
      <c r="D138" s="288"/>
      <c r="L138" s="1087"/>
      <c r="M138" s="1563"/>
      <c r="N138" s="1563"/>
      <c r="O138" s="1087"/>
      <c r="P138" s="1087"/>
      <c r="Q138" s="1087"/>
      <c r="R138" s="1087"/>
      <c r="S138" s="1563"/>
      <c r="T138" s="1087"/>
      <c r="U138" s="1087"/>
      <c r="V138" s="481"/>
      <c r="W138" s="1087"/>
      <c r="X138" s="1087"/>
      <c r="Y138" s="1087"/>
      <c r="Z138" s="1087"/>
      <c r="AA138" s="1087"/>
      <c r="AB138" s="1559"/>
      <c r="AC138" s="503"/>
      <c r="AD138" s="503"/>
      <c r="AE138" s="503"/>
      <c r="AF138" s="503"/>
      <c r="AG138" s="1568">
        <v>11</v>
      </c>
    </row>
    <row r="139" spans="1:33" s="1568" customFormat="1" ht="11.45" customHeight="1">
      <c r="A139" s="917"/>
      <c r="B139" s="1563"/>
      <c r="C139" s="1563"/>
      <c r="D139" s="288"/>
      <c r="L139" s="1087"/>
      <c r="M139" s="1563"/>
      <c r="N139" s="1563"/>
      <c r="O139" s="1087"/>
      <c r="P139" s="1087"/>
      <c r="Q139" s="1087"/>
      <c r="R139" s="1087"/>
      <c r="S139" s="1563"/>
      <c r="T139" s="1087"/>
      <c r="U139" s="1087"/>
      <c r="V139" s="481"/>
      <c r="W139" s="1087"/>
      <c r="X139" s="1087"/>
      <c r="Y139" s="1087"/>
      <c r="Z139" s="1087"/>
      <c r="AA139" s="1087"/>
      <c r="AB139" s="1559"/>
      <c r="AC139" s="503"/>
      <c r="AD139" s="503"/>
      <c r="AE139" s="503"/>
      <c r="AF139" s="503"/>
      <c r="AG139" s="1568">
        <v>11</v>
      </c>
    </row>
    <row r="140" spans="1:33" s="1568" customFormat="1" ht="11.45" customHeight="1">
      <c r="A140" s="917"/>
      <c r="B140" s="1563"/>
      <c r="C140" s="1563"/>
      <c r="D140" s="288"/>
      <c r="L140" s="1087"/>
      <c r="M140" s="1563"/>
      <c r="N140" s="1563"/>
      <c r="O140" s="1087"/>
      <c r="P140" s="1087"/>
      <c r="Q140" s="1087"/>
      <c r="R140" s="1087"/>
      <c r="S140" s="1563"/>
      <c r="T140" s="1087"/>
      <c r="U140" s="1087"/>
      <c r="V140" s="481"/>
      <c r="W140" s="1087"/>
      <c r="X140" s="1087"/>
      <c r="Y140" s="1087"/>
      <c r="Z140" s="1087"/>
      <c r="AA140" s="1087"/>
      <c r="AB140" s="1559"/>
      <c r="AC140" s="503"/>
      <c r="AD140" s="503"/>
      <c r="AE140" s="503"/>
      <c r="AF140" s="503"/>
      <c r="AG140" s="1568">
        <v>11</v>
      </c>
    </row>
    <row r="141" spans="1:33" s="1568" customFormat="1" ht="11.45" customHeight="1">
      <c r="A141" s="917"/>
      <c r="B141" s="1563"/>
      <c r="C141" s="1563"/>
      <c r="D141" s="288"/>
      <c r="L141" s="1087"/>
      <c r="M141" s="1563"/>
      <c r="N141" s="1563"/>
      <c r="O141" s="1087"/>
      <c r="P141" s="1087"/>
      <c r="Q141" s="1087"/>
      <c r="R141" s="1087"/>
      <c r="S141" s="1563"/>
      <c r="T141" s="1087"/>
      <c r="U141" s="1087"/>
      <c r="V141" s="481"/>
      <c r="W141" s="1087"/>
      <c r="X141" s="1087"/>
      <c r="Y141" s="1087"/>
      <c r="Z141" s="1087"/>
      <c r="AA141" s="1087"/>
      <c r="AB141" s="1559"/>
      <c r="AC141" s="503"/>
      <c r="AD141" s="503"/>
      <c r="AE141" s="503"/>
      <c r="AF141" s="503"/>
      <c r="AG141" s="1568">
        <v>11</v>
      </c>
    </row>
    <row r="142" spans="1:33" s="1568" customFormat="1" ht="11.45" customHeight="1">
      <c r="A142" s="917"/>
      <c r="B142" s="1563"/>
      <c r="C142" s="1563"/>
      <c r="D142" s="288"/>
      <c r="L142" s="1087"/>
      <c r="M142" s="1563"/>
      <c r="N142" s="1563"/>
      <c r="O142" s="1087"/>
      <c r="P142" s="1087"/>
      <c r="Q142" s="1087"/>
      <c r="R142" s="1087"/>
      <c r="S142" s="1563"/>
      <c r="T142" s="1087"/>
      <c r="U142" s="1087"/>
      <c r="V142" s="481"/>
      <c r="W142" s="1087"/>
      <c r="X142" s="1087"/>
      <c r="Y142" s="1087"/>
      <c r="Z142" s="1087"/>
      <c r="AA142" s="1087"/>
      <c r="AB142" s="1559"/>
      <c r="AC142" s="503"/>
      <c r="AD142" s="503"/>
      <c r="AE142" s="503"/>
      <c r="AF142" s="503"/>
      <c r="AG142" s="1568">
        <v>11</v>
      </c>
    </row>
    <row r="143" spans="1:33" s="1568" customFormat="1" ht="11.45" customHeight="1">
      <c r="A143" s="917"/>
      <c r="B143" s="1563"/>
      <c r="C143" s="1563"/>
      <c r="D143" s="288"/>
      <c r="L143" s="1087"/>
      <c r="M143" s="1563"/>
      <c r="N143" s="1563"/>
      <c r="O143" s="1087"/>
      <c r="P143" s="1087"/>
      <c r="Q143" s="1087"/>
      <c r="R143" s="1087"/>
      <c r="S143" s="1563"/>
      <c r="T143" s="1087"/>
      <c r="U143" s="1087"/>
      <c r="V143" s="481"/>
      <c r="W143" s="1087"/>
      <c r="X143" s="1087"/>
      <c r="Y143" s="1087"/>
      <c r="Z143" s="1087"/>
      <c r="AA143" s="1087"/>
      <c r="AB143" s="1559"/>
      <c r="AC143" s="503"/>
      <c r="AD143" s="503"/>
      <c r="AE143" s="503"/>
      <c r="AF143" s="503"/>
      <c r="AG143" s="1568">
        <v>11</v>
      </c>
    </row>
    <row r="144" spans="1:33" s="1568" customFormat="1" ht="11.45" customHeight="1">
      <c r="A144" s="917"/>
      <c r="B144" s="1563"/>
      <c r="C144" s="1563"/>
      <c r="D144" s="288"/>
      <c r="L144" s="1087"/>
      <c r="M144" s="1563"/>
      <c r="N144" s="1563"/>
      <c r="O144" s="1087"/>
      <c r="P144" s="1087"/>
      <c r="Q144" s="1087"/>
      <c r="R144" s="1087"/>
      <c r="S144" s="1563"/>
      <c r="T144" s="1087"/>
      <c r="U144" s="1087"/>
      <c r="V144" s="481"/>
      <c r="W144" s="1087"/>
      <c r="X144" s="1087"/>
      <c r="Y144" s="1087"/>
      <c r="Z144" s="1087"/>
      <c r="AA144" s="1087"/>
      <c r="AB144" s="1559"/>
      <c r="AC144" s="503"/>
      <c r="AD144" s="503"/>
      <c r="AE144" s="503"/>
      <c r="AF144" s="503"/>
      <c r="AG144" s="1568">
        <v>11</v>
      </c>
    </row>
    <row r="145" spans="1:33" s="1568" customFormat="1" ht="11.45" customHeight="1">
      <c r="A145" s="917"/>
      <c r="B145" s="1563"/>
      <c r="C145" s="1563"/>
      <c r="D145" s="288"/>
      <c r="L145" s="1087"/>
      <c r="M145" s="1563"/>
      <c r="N145" s="1563"/>
      <c r="O145" s="1087"/>
      <c r="P145" s="1087"/>
      <c r="Q145" s="1087"/>
      <c r="R145" s="1087"/>
      <c r="S145" s="1563"/>
      <c r="T145" s="1087"/>
      <c r="U145" s="1087"/>
      <c r="V145" s="481"/>
      <c r="W145" s="1087"/>
      <c r="X145" s="1087"/>
      <c r="Y145" s="1087"/>
      <c r="Z145" s="1087"/>
      <c r="AA145" s="1087"/>
      <c r="AB145" s="1559"/>
      <c r="AC145" s="503"/>
      <c r="AD145" s="503"/>
      <c r="AE145" s="503"/>
      <c r="AF145" s="503"/>
      <c r="AG145" s="1568">
        <v>11</v>
      </c>
    </row>
    <row r="146" spans="1:33" s="1568" customFormat="1" ht="11.45" customHeight="1">
      <c r="A146" s="917"/>
      <c r="B146" s="1563"/>
      <c r="C146" s="1563"/>
      <c r="D146" s="288"/>
      <c r="L146" s="1087"/>
      <c r="M146" s="1563"/>
      <c r="N146" s="1563"/>
      <c r="O146" s="1087"/>
      <c r="P146" s="1087"/>
      <c r="Q146" s="1087"/>
      <c r="R146" s="1087"/>
      <c r="S146" s="1563"/>
      <c r="T146" s="1087"/>
      <c r="U146" s="1087"/>
      <c r="V146" s="481"/>
      <c r="W146" s="1087"/>
      <c r="X146" s="1087"/>
      <c r="Y146" s="1087"/>
      <c r="Z146" s="1087"/>
      <c r="AA146" s="1087"/>
      <c r="AB146" s="1559"/>
      <c r="AC146" s="503"/>
      <c r="AD146" s="503"/>
      <c r="AE146" s="503"/>
      <c r="AF146" s="503"/>
      <c r="AG146" s="1568">
        <v>11</v>
      </c>
    </row>
    <row r="147" spans="1:33" s="1568" customFormat="1" ht="11.45" customHeight="1">
      <c r="A147" s="917"/>
      <c r="B147" s="1563"/>
      <c r="C147" s="1563"/>
      <c r="D147" s="288"/>
      <c r="L147" s="1087"/>
      <c r="M147" s="1563"/>
      <c r="N147" s="1563"/>
      <c r="O147" s="1087"/>
      <c r="P147" s="1087"/>
      <c r="Q147" s="1087"/>
      <c r="R147" s="1087"/>
      <c r="S147" s="1563"/>
      <c r="T147" s="1087"/>
      <c r="U147" s="1087"/>
      <c r="V147" s="481"/>
      <c r="W147" s="1087"/>
      <c r="X147" s="1087"/>
      <c r="Y147" s="1087"/>
      <c r="Z147" s="1087"/>
      <c r="AA147" s="1087"/>
      <c r="AB147" s="1559"/>
      <c r="AC147" s="503"/>
      <c r="AD147" s="503"/>
      <c r="AE147" s="503"/>
      <c r="AF147" s="503"/>
      <c r="AG147" s="1568">
        <v>11</v>
      </c>
    </row>
    <row r="148" spans="1:33" s="1568" customFormat="1" ht="11.45" customHeight="1">
      <c r="A148" s="917"/>
      <c r="B148" s="1563"/>
      <c r="C148" s="1563"/>
      <c r="D148" s="288"/>
      <c r="L148" s="1087"/>
      <c r="M148" s="1563"/>
      <c r="N148" s="1563"/>
      <c r="O148" s="1087"/>
      <c r="P148" s="1087"/>
      <c r="Q148" s="1087"/>
      <c r="R148" s="1087"/>
      <c r="S148" s="1563"/>
      <c r="T148" s="1087"/>
      <c r="U148" s="1087"/>
      <c r="V148" s="481"/>
      <c r="W148" s="1087"/>
      <c r="X148" s="1087"/>
      <c r="Y148" s="1087"/>
      <c r="Z148" s="1087"/>
      <c r="AA148" s="1087"/>
      <c r="AB148" s="1559"/>
      <c r="AC148" s="503"/>
      <c r="AD148" s="503"/>
      <c r="AE148" s="503"/>
      <c r="AF148" s="503"/>
      <c r="AG148" s="1568">
        <v>11</v>
      </c>
    </row>
    <row r="149" spans="1:33" s="1568" customFormat="1" ht="11.45" customHeight="1">
      <c r="A149" s="917"/>
      <c r="B149" s="1563"/>
      <c r="C149" s="1563"/>
      <c r="D149" s="288"/>
      <c r="L149" s="1087"/>
      <c r="M149" s="1563"/>
      <c r="N149" s="1563"/>
      <c r="O149" s="1087"/>
      <c r="P149" s="1087"/>
      <c r="Q149" s="1087"/>
      <c r="R149" s="1087"/>
      <c r="S149" s="1563"/>
      <c r="T149" s="1087"/>
      <c r="U149" s="1087"/>
      <c r="V149" s="481"/>
      <c r="W149" s="1087"/>
      <c r="X149" s="1087"/>
      <c r="Y149" s="1087"/>
      <c r="Z149" s="1087"/>
      <c r="AA149" s="1087"/>
      <c r="AB149" s="1559"/>
      <c r="AC149" s="503"/>
      <c r="AD149" s="503"/>
      <c r="AE149" s="503"/>
      <c r="AF149" s="503"/>
      <c r="AG149" s="1568">
        <v>11</v>
      </c>
    </row>
    <row r="150" spans="1:33" s="1568" customFormat="1" ht="11.45" customHeight="1">
      <c r="A150" s="917"/>
      <c r="B150" s="1563"/>
      <c r="C150" s="1563"/>
      <c r="D150" s="288"/>
      <c r="L150" s="1087"/>
      <c r="M150" s="1563"/>
      <c r="N150" s="1563"/>
      <c r="O150" s="1087"/>
      <c r="P150" s="1087"/>
      <c r="Q150" s="1087"/>
      <c r="R150" s="1087"/>
      <c r="S150" s="1563"/>
      <c r="T150" s="1087"/>
      <c r="U150" s="1087"/>
      <c r="V150" s="481"/>
      <c r="W150" s="1087"/>
      <c r="X150" s="1087"/>
      <c r="Y150" s="1087"/>
      <c r="Z150" s="1087"/>
      <c r="AA150" s="1087"/>
      <c r="AB150" s="1559"/>
      <c r="AC150" s="503"/>
      <c r="AD150" s="503"/>
      <c r="AE150" s="503"/>
      <c r="AF150" s="503"/>
      <c r="AG150" s="1568">
        <v>11</v>
      </c>
    </row>
    <row r="151" spans="1:33" s="1568" customFormat="1" ht="11.45" customHeight="1">
      <c r="A151" s="917"/>
      <c r="B151" s="1563"/>
      <c r="C151" s="1563"/>
      <c r="D151" s="288"/>
      <c r="L151" s="1087"/>
      <c r="M151" s="1563"/>
      <c r="N151" s="1563"/>
      <c r="O151" s="1087"/>
      <c r="P151" s="1087"/>
      <c r="Q151" s="1087"/>
      <c r="R151" s="1087"/>
      <c r="S151" s="1563"/>
      <c r="T151" s="1087"/>
      <c r="U151" s="1087"/>
      <c r="V151" s="481"/>
      <c r="W151" s="1087"/>
      <c r="X151" s="1087"/>
      <c r="Y151" s="1087"/>
      <c r="Z151" s="1087"/>
      <c r="AA151" s="1087"/>
      <c r="AB151" s="1559"/>
      <c r="AC151" s="503"/>
      <c r="AD151" s="503"/>
      <c r="AE151" s="503"/>
      <c r="AF151" s="503"/>
      <c r="AG151" s="1568">
        <v>11</v>
      </c>
    </row>
    <row r="152" spans="1:33" s="1568" customFormat="1" ht="11.45" customHeight="1">
      <c r="A152" s="917"/>
      <c r="B152" s="1563"/>
      <c r="C152" s="1563"/>
      <c r="D152" s="288"/>
      <c r="L152" s="1087"/>
      <c r="M152" s="1563"/>
      <c r="N152" s="1563"/>
      <c r="O152" s="1087"/>
      <c r="P152" s="1087"/>
      <c r="Q152" s="1087"/>
      <c r="R152" s="1087"/>
      <c r="S152" s="1563"/>
      <c r="T152" s="1087"/>
      <c r="U152" s="1087"/>
      <c r="V152" s="481"/>
      <c r="W152" s="1087"/>
      <c r="X152" s="1087"/>
      <c r="Y152" s="1087"/>
      <c r="Z152" s="1087"/>
      <c r="AA152" s="1087"/>
      <c r="AB152" s="1559"/>
      <c r="AC152" s="503"/>
      <c r="AD152" s="503"/>
      <c r="AE152" s="503"/>
      <c r="AF152" s="503"/>
      <c r="AG152" s="1568">
        <v>11</v>
      </c>
    </row>
    <row r="153" spans="1:33" s="1568" customFormat="1" ht="11.45" customHeight="1">
      <c r="A153" s="917"/>
      <c r="B153" s="1563"/>
      <c r="C153" s="1563"/>
      <c r="D153" s="288"/>
      <c r="L153" s="1087"/>
      <c r="M153" s="1563"/>
      <c r="N153" s="1563"/>
      <c r="O153" s="1087"/>
      <c r="P153" s="1087"/>
      <c r="Q153" s="1087"/>
      <c r="R153" s="1087"/>
      <c r="S153" s="1563"/>
      <c r="T153" s="1087"/>
      <c r="U153" s="1087"/>
      <c r="V153" s="481"/>
      <c r="W153" s="1087"/>
      <c r="X153" s="1087"/>
      <c r="Y153" s="1087"/>
      <c r="Z153" s="1087"/>
      <c r="AA153" s="1087"/>
      <c r="AB153" s="1559"/>
      <c r="AC153" s="503"/>
      <c r="AD153" s="503"/>
      <c r="AE153" s="503"/>
      <c r="AF153" s="503"/>
      <c r="AG153" s="1568">
        <v>11</v>
      </c>
    </row>
    <row r="154" spans="1:33" s="1568" customFormat="1" ht="11.45" customHeight="1">
      <c r="A154" s="917"/>
      <c r="B154" s="1563"/>
      <c r="C154" s="1563"/>
      <c r="D154" s="288"/>
      <c r="L154" s="1087"/>
      <c r="M154" s="1563"/>
      <c r="N154" s="1563"/>
      <c r="O154" s="1087"/>
      <c r="P154" s="1087"/>
      <c r="Q154" s="1087"/>
      <c r="R154" s="1087"/>
      <c r="S154" s="1563"/>
      <c r="T154" s="1087"/>
      <c r="U154" s="1087"/>
      <c r="V154" s="481"/>
      <c r="W154" s="1087"/>
      <c r="X154" s="1087"/>
      <c r="Y154" s="1087"/>
      <c r="Z154" s="1087"/>
      <c r="AA154" s="1087"/>
      <c r="AB154" s="1559"/>
      <c r="AC154" s="503"/>
      <c r="AD154" s="503"/>
      <c r="AE154" s="503"/>
      <c r="AF154" s="503"/>
      <c r="AG154" s="1568">
        <v>11</v>
      </c>
    </row>
    <row r="155" spans="1:33" s="1568" customFormat="1" ht="11.45" customHeight="1">
      <c r="A155" s="917"/>
      <c r="B155" s="1563"/>
      <c r="C155" s="1563"/>
      <c r="D155" s="288"/>
      <c r="L155" s="1087"/>
      <c r="M155" s="1563"/>
      <c r="N155" s="1563"/>
      <c r="O155" s="1087"/>
      <c r="P155" s="1087"/>
      <c r="Q155" s="1087"/>
      <c r="R155" s="1087"/>
      <c r="S155" s="1563"/>
      <c r="T155" s="1087"/>
      <c r="U155" s="1087"/>
      <c r="V155" s="481"/>
      <c r="W155" s="1087"/>
      <c r="X155" s="1087"/>
      <c r="Y155" s="1087"/>
      <c r="Z155" s="1087"/>
      <c r="AA155" s="1087"/>
      <c r="AB155" s="1559"/>
      <c r="AC155" s="503"/>
      <c r="AD155" s="503"/>
      <c r="AE155" s="503"/>
      <c r="AF155" s="503"/>
      <c r="AG155" s="1568">
        <v>11</v>
      </c>
    </row>
    <row r="156" spans="1:33" s="1568" customFormat="1" ht="11.45" customHeight="1">
      <c r="A156" s="917"/>
      <c r="B156" s="1563"/>
      <c r="C156" s="1563"/>
      <c r="D156" s="288"/>
      <c r="L156" s="1087"/>
      <c r="M156" s="1563"/>
      <c r="N156" s="1563"/>
      <c r="O156" s="1087"/>
      <c r="P156" s="1087"/>
      <c r="Q156" s="1087"/>
      <c r="R156" s="1087"/>
      <c r="S156" s="1563"/>
      <c r="T156" s="1087"/>
      <c r="U156" s="1087"/>
      <c r="V156" s="481"/>
      <c r="W156" s="1087"/>
      <c r="X156" s="1087"/>
      <c r="Y156" s="1087"/>
      <c r="Z156" s="1087"/>
      <c r="AA156" s="1087"/>
      <c r="AB156" s="1559"/>
      <c r="AC156" s="503"/>
      <c r="AD156" s="503"/>
      <c r="AE156" s="503"/>
      <c r="AF156" s="503"/>
      <c r="AG156" s="1568">
        <v>11</v>
      </c>
    </row>
    <row r="157" spans="1:33" s="1568" customFormat="1" ht="11.45" customHeight="1">
      <c r="A157" s="917"/>
      <c r="B157" s="1563"/>
      <c r="C157" s="1563"/>
      <c r="D157" s="288"/>
      <c r="L157" s="1087"/>
      <c r="M157" s="1563"/>
      <c r="N157" s="1563"/>
      <c r="O157" s="1087"/>
      <c r="P157" s="1087"/>
      <c r="Q157" s="1087"/>
      <c r="R157" s="1087"/>
      <c r="S157" s="1563"/>
      <c r="T157" s="1087"/>
      <c r="U157" s="1087"/>
      <c r="V157" s="481"/>
      <c r="W157" s="1087"/>
      <c r="X157" s="1087"/>
      <c r="Y157" s="1087"/>
      <c r="Z157" s="1087"/>
      <c r="AA157" s="1087"/>
      <c r="AB157" s="1559"/>
      <c r="AC157" s="503"/>
      <c r="AD157" s="503"/>
      <c r="AE157" s="503"/>
      <c r="AF157" s="503"/>
      <c r="AG157" s="1568">
        <v>11</v>
      </c>
    </row>
    <row r="158" spans="1:33" s="1568" customFormat="1" ht="11.45" customHeight="1">
      <c r="A158" s="917"/>
      <c r="B158" s="1563"/>
      <c r="C158" s="1563"/>
      <c r="D158" s="288"/>
      <c r="L158" s="1087"/>
      <c r="M158" s="1563"/>
      <c r="N158" s="1563"/>
      <c r="O158" s="1087"/>
      <c r="P158" s="1087"/>
      <c r="Q158" s="1087"/>
      <c r="R158" s="1087"/>
      <c r="S158" s="1563"/>
      <c r="T158" s="1087"/>
      <c r="U158" s="1087"/>
      <c r="V158" s="481"/>
      <c r="W158" s="1087"/>
      <c r="X158" s="1087"/>
      <c r="Y158" s="1087"/>
      <c r="Z158" s="1087"/>
      <c r="AA158" s="1087"/>
      <c r="AB158" s="1559"/>
      <c r="AC158" s="503"/>
      <c r="AD158" s="503"/>
      <c r="AE158" s="503"/>
      <c r="AF158" s="503"/>
      <c r="AG158" s="1568">
        <v>11</v>
      </c>
    </row>
    <row r="159" spans="1:33" s="1568" customFormat="1" ht="11.45" customHeight="1">
      <c r="A159" s="917"/>
      <c r="B159" s="1563"/>
      <c r="C159" s="1563"/>
      <c r="D159" s="288"/>
      <c r="L159" s="1087"/>
      <c r="M159" s="1563"/>
      <c r="N159" s="1563"/>
      <c r="O159" s="1087"/>
      <c r="P159" s="1087"/>
      <c r="Q159" s="1087"/>
      <c r="R159" s="1087"/>
      <c r="S159" s="1563"/>
      <c r="T159" s="1087"/>
      <c r="U159" s="1087"/>
      <c r="V159" s="481"/>
      <c r="W159" s="1087"/>
      <c r="X159" s="1087"/>
      <c r="Y159" s="1087"/>
      <c r="Z159" s="1087"/>
      <c r="AA159" s="1087"/>
      <c r="AB159" s="1559"/>
      <c r="AC159" s="503"/>
      <c r="AD159" s="503"/>
      <c r="AE159" s="503"/>
      <c r="AF159" s="503"/>
      <c r="AG159" s="1568">
        <v>11</v>
      </c>
    </row>
    <row r="160" spans="1:33" s="1568" customFormat="1" ht="11.45" customHeight="1">
      <c r="A160" s="917"/>
      <c r="B160" s="1563"/>
      <c r="C160" s="1563"/>
      <c r="D160" s="288"/>
      <c r="L160" s="1087"/>
      <c r="M160" s="1563"/>
      <c r="N160" s="1563"/>
      <c r="O160" s="1087"/>
      <c r="P160" s="1087"/>
      <c r="Q160" s="1087"/>
      <c r="R160" s="1087"/>
      <c r="S160" s="1563"/>
      <c r="T160" s="1087"/>
      <c r="U160" s="1087"/>
      <c r="V160" s="481"/>
      <c r="W160" s="1087"/>
      <c r="X160" s="1087"/>
      <c r="Y160" s="1087"/>
      <c r="Z160" s="1087"/>
      <c r="AA160" s="1087"/>
      <c r="AB160" s="1559"/>
      <c r="AC160" s="503"/>
      <c r="AD160" s="503"/>
      <c r="AE160" s="503"/>
      <c r="AF160" s="503"/>
      <c r="AG160" s="1568">
        <v>11</v>
      </c>
    </row>
    <row r="161" spans="1:33" s="1568" customFormat="1" ht="11.45" customHeight="1">
      <c r="A161" s="917"/>
      <c r="B161" s="1563"/>
      <c r="C161" s="1563"/>
      <c r="D161" s="288"/>
      <c r="L161" s="1087"/>
      <c r="M161" s="1563"/>
      <c r="N161" s="1563"/>
      <c r="O161" s="1087"/>
      <c r="P161" s="1087"/>
      <c r="Q161" s="1087"/>
      <c r="R161" s="1087"/>
      <c r="S161" s="1563"/>
      <c r="T161" s="1087"/>
      <c r="U161" s="1087"/>
      <c r="V161" s="481"/>
      <c r="W161" s="1087"/>
      <c r="X161" s="1087"/>
      <c r="Y161" s="1087"/>
      <c r="Z161" s="1087"/>
      <c r="AA161" s="1087"/>
      <c r="AB161" s="1559"/>
      <c r="AC161" s="503"/>
      <c r="AD161" s="503"/>
      <c r="AE161" s="503"/>
      <c r="AF161" s="503"/>
      <c r="AG161" s="1568">
        <v>11</v>
      </c>
    </row>
    <row r="162" spans="1:33" s="1568" customFormat="1" ht="11.45" customHeight="1">
      <c r="A162" s="917"/>
      <c r="B162" s="1563"/>
      <c r="C162" s="1563"/>
      <c r="D162" s="288"/>
      <c r="L162" s="1087"/>
      <c r="M162" s="1563"/>
      <c r="N162" s="1563"/>
      <c r="O162" s="1087"/>
      <c r="P162" s="1087"/>
      <c r="Q162" s="1087"/>
      <c r="R162" s="1087"/>
      <c r="S162" s="1563"/>
      <c r="T162" s="1087"/>
      <c r="U162" s="1087"/>
      <c r="V162" s="481"/>
      <c r="W162" s="1087"/>
      <c r="X162" s="1087"/>
      <c r="Y162" s="1087"/>
      <c r="Z162" s="1087"/>
      <c r="AA162" s="1087"/>
      <c r="AB162" s="1559"/>
      <c r="AC162" s="503"/>
      <c r="AD162" s="503"/>
      <c r="AE162" s="503"/>
      <c r="AF162" s="503"/>
      <c r="AG162" s="1568">
        <v>11</v>
      </c>
    </row>
    <row r="163" spans="1:33" s="1568" customFormat="1" ht="11.45" customHeight="1">
      <c r="A163" s="917"/>
      <c r="B163" s="1563"/>
      <c r="C163" s="1563"/>
      <c r="D163" s="288"/>
      <c r="L163" s="1087"/>
      <c r="M163" s="1563"/>
      <c r="N163" s="1563"/>
      <c r="O163" s="1087"/>
      <c r="P163" s="1087"/>
      <c r="Q163" s="1087"/>
      <c r="R163" s="1087"/>
      <c r="S163" s="1563"/>
      <c r="T163" s="1087"/>
      <c r="U163" s="1087"/>
      <c r="V163" s="481"/>
      <c r="W163" s="1087"/>
      <c r="X163" s="1087"/>
      <c r="Y163" s="1087"/>
      <c r="Z163" s="1087"/>
      <c r="AA163" s="1087"/>
      <c r="AB163" s="1559"/>
      <c r="AC163" s="503"/>
      <c r="AD163" s="503"/>
      <c r="AE163" s="503"/>
      <c r="AF163" s="503"/>
      <c r="AG163" s="1568">
        <v>11</v>
      </c>
    </row>
    <row r="164" spans="1:33" s="1568" customFormat="1" ht="11.45" customHeight="1">
      <c r="A164" s="917"/>
      <c r="B164" s="1563"/>
      <c r="C164" s="1563"/>
      <c r="D164" s="288"/>
      <c r="L164" s="1087"/>
      <c r="M164" s="1563"/>
      <c r="N164" s="1563"/>
      <c r="O164" s="1087"/>
      <c r="P164" s="1087"/>
      <c r="Q164" s="1087"/>
      <c r="R164" s="1087"/>
      <c r="S164" s="1563"/>
      <c r="T164" s="1087"/>
      <c r="U164" s="1087"/>
      <c r="V164" s="481"/>
      <c r="W164" s="1087"/>
      <c r="X164" s="1087"/>
      <c r="Y164" s="1087"/>
      <c r="Z164" s="1087"/>
      <c r="AA164" s="1087"/>
      <c r="AB164" s="1559"/>
      <c r="AC164" s="503"/>
      <c r="AD164" s="503"/>
      <c r="AE164" s="503"/>
      <c r="AF164" s="503"/>
      <c r="AG164" s="1568">
        <v>11</v>
      </c>
    </row>
    <row r="165" spans="1:33" s="1568" customFormat="1" ht="11.45" customHeight="1">
      <c r="A165" s="917"/>
      <c r="B165" s="1563"/>
      <c r="C165" s="1563"/>
      <c r="D165" s="288"/>
      <c r="L165" s="1087"/>
      <c r="M165" s="1563"/>
      <c r="N165" s="1563"/>
      <c r="O165" s="1087"/>
      <c r="P165" s="1087"/>
      <c r="Q165" s="1087"/>
      <c r="R165" s="1087"/>
      <c r="S165" s="1563"/>
      <c r="T165" s="1087"/>
      <c r="U165" s="1087"/>
      <c r="V165" s="481"/>
      <c r="W165" s="1087"/>
      <c r="X165" s="1087"/>
      <c r="Y165" s="1087"/>
      <c r="Z165" s="1087"/>
      <c r="AA165" s="1087"/>
      <c r="AB165" s="1559"/>
      <c r="AC165" s="503"/>
      <c r="AD165" s="503"/>
      <c r="AE165" s="503"/>
      <c r="AF165" s="503"/>
      <c r="AG165" s="1568">
        <v>11</v>
      </c>
    </row>
    <row r="166" spans="1:33" s="1568" customFormat="1" ht="11.45" customHeight="1">
      <c r="A166" s="917"/>
      <c r="B166" s="1563"/>
      <c r="C166" s="1563"/>
      <c r="D166" s="288"/>
      <c r="L166" s="1087"/>
      <c r="M166" s="1563"/>
      <c r="N166" s="1563"/>
      <c r="O166" s="1087"/>
      <c r="P166" s="1087"/>
      <c r="Q166" s="1087"/>
      <c r="R166" s="1087"/>
      <c r="S166" s="1563"/>
      <c r="T166" s="1087"/>
      <c r="U166" s="1087"/>
      <c r="V166" s="481"/>
      <c r="W166" s="1087"/>
      <c r="X166" s="1087"/>
      <c r="Y166" s="1087"/>
      <c r="Z166" s="1087"/>
      <c r="AA166" s="1087"/>
      <c r="AB166" s="1559"/>
      <c r="AC166" s="503"/>
      <c r="AD166" s="503"/>
      <c r="AE166" s="503"/>
      <c r="AF166" s="503"/>
      <c r="AG166" s="1568">
        <v>11</v>
      </c>
    </row>
    <row r="167" spans="1:33" s="1568" customFormat="1" ht="11.45" customHeight="1">
      <c r="A167" s="917"/>
      <c r="B167" s="1563"/>
      <c r="C167" s="1563"/>
      <c r="D167" s="288"/>
      <c r="L167" s="1087"/>
      <c r="M167" s="1563"/>
      <c r="N167" s="1563"/>
      <c r="O167" s="1087"/>
      <c r="P167" s="1087"/>
      <c r="Q167" s="1087"/>
      <c r="R167" s="1087"/>
      <c r="S167" s="1563"/>
      <c r="T167" s="1087"/>
      <c r="U167" s="1087"/>
      <c r="V167" s="481"/>
      <c r="W167" s="1087"/>
      <c r="X167" s="1087"/>
      <c r="Y167" s="1087"/>
      <c r="Z167" s="1087"/>
      <c r="AA167" s="1087"/>
      <c r="AB167" s="1559"/>
      <c r="AC167" s="503"/>
      <c r="AD167" s="503"/>
      <c r="AE167" s="503"/>
      <c r="AF167" s="503"/>
      <c r="AG167" s="1568">
        <v>11</v>
      </c>
    </row>
    <row r="168" spans="1:33" s="1568" customFormat="1" ht="11.45" customHeight="1">
      <c r="A168" s="917"/>
      <c r="B168" s="1563"/>
      <c r="C168" s="1563"/>
      <c r="D168" s="288"/>
      <c r="L168" s="1087"/>
      <c r="M168" s="1563"/>
      <c r="N168" s="1563"/>
      <c r="O168" s="1087"/>
      <c r="P168" s="1087"/>
      <c r="Q168" s="1087"/>
      <c r="R168" s="1087"/>
      <c r="S168" s="1563"/>
      <c r="T168" s="1087"/>
      <c r="U168" s="1087"/>
      <c r="V168" s="481"/>
      <c r="W168" s="1087"/>
      <c r="X168" s="1087"/>
      <c r="Y168" s="1087"/>
      <c r="Z168" s="1087"/>
      <c r="AA168" s="1087"/>
      <c r="AB168" s="1559"/>
      <c r="AC168" s="503"/>
      <c r="AD168" s="503"/>
      <c r="AE168" s="503"/>
      <c r="AF168" s="503"/>
      <c r="AG168" s="1568">
        <v>11</v>
      </c>
    </row>
    <row r="169" spans="1:33" s="1568" customFormat="1" ht="11.45" customHeight="1">
      <c r="A169" s="917"/>
      <c r="B169" s="1563"/>
      <c r="C169" s="1563"/>
      <c r="D169" s="288"/>
      <c r="L169" s="1087"/>
      <c r="M169" s="1563"/>
      <c r="N169" s="1563"/>
      <c r="O169" s="1087"/>
      <c r="P169" s="1087"/>
      <c r="Q169" s="1087"/>
      <c r="R169" s="1087"/>
      <c r="S169" s="1563"/>
      <c r="T169" s="1087"/>
      <c r="U169" s="1087"/>
      <c r="V169" s="481"/>
      <c r="W169" s="1087"/>
      <c r="X169" s="1087"/>
      <c r="Y169" s="1087"/>
      <c r="Z169" s="1087"/>
      <c r="AA169" s="1087"/>
      <c r="AB169" s="1559"/>
      <c r="AC169" s="503"/>
      <c r="AD169" s="503"/>
      <c r="AE169" s="503"/>
      <c r="AF169" s="503"/>
      <c r="AG169" s="1568">
        <v>11</v>
      </c>
    </row>
    <row r="170" spans="1:33" s="1568" customFormat="1" ht="11.45" customHeight="1">
      <c r="A170" s="917"/>
      <c r="B170" s="1563"/>
      <c r="C170" s="1563"/>
      <c r="D170" s="288"/>
      <c r="L170" s="1087"/>
      <c r="M170" s="1563"/>
      <c r="N170" s="1563"/>
      <c r="O170" s="1087"/>
      <c r="P170" s="1087"/>
      <c r="Q170" s="1087"/>
      <c r="R170" s="1087"/>
      <c r="S170" s="1563"/>
      <c r="T170" s="1087"/>
      <c r="U170" s="1087"/>
      <c r="V170" s="481"/>
      <c r="W170" s="1087"/>
      <c r="X170" s="1087"/>
      <c r="Y170" s="1087"/>
      <c r="Z170" s="1087"/>
      <c r="AA170" s="1087"/>
      <c r="AB170" s="1559"/>
      <c r="AC170" s="503"/>
      <c r="AD170" s="503"/>
      <c r="AE170" s="503"/>
      <c r="AF170" s="503"/>
      <c r="AG170" s="1568">
        <v>11</v>
      </c>
    </row>
    <row r="171" spans="1:33" s="1568" customFormat="1" ht="11.45" customHeight="1">
      <c r="A171" s="917"/>
      <c r="B171" s="1563"/>
      <c r="C171" s="1563"/>
      <c r="D171" s="288"/>
      <c r="L171" s="1087"/>
      <c r="M171" s="1563"/>
      <c r="N171" s="1563"/>
      <c r="O171" s="1087"/>
      <c r="P171" s="1087"/>
      <c r="Q171" s="1087"/>
      <c r="R171" s="1087"/>
      <c r="S171" s="1563"/>
      <c r="T171" s="1087"/>
      <c r="U171" s="1087"/>
      <c r="V171" s="481"/>
      <c r="W171" s="1087"/>
      <c r="X171" s="1087"/>
      <c r="Y171" s="1087"/>
      <c r="Z171" s="1087"/>
      <c r="AA171" s="1087"/>
      <c r="AB171" s="1559"/>
      <c r="AC171" s="503"/>
      <c r="AD171" s="503"/>
      <c r="AE171" s="503"/>
      <c r="AF171" s="503"/>
      <c r="AG171" s="1568">
        <v>11</v>
      </c>
    </row>
    <row r="172" spans="1:33" s="1568" customFormat="1" ht="11.45" customHeight="1">
      <c r="A172" s="917"/>
      <c r="B172" s="1563"/>
      <c r="C172" s="1563"/>
      <c r="D172" s="288"/>
      <c r="L172" s="1087"/>
      <c r="M172" s="1563"/>
      <c r="N172" s="1563"/>
      <c r="O172" s="1087"/>
      <c r="P172" s="1087"/>
      <c r="Q172" s="1087"/>
      <c r="R172" s="1087"/>
      <c r="S172" s="1563"/>
      <c r="T172" s="1087"/>
      <c r="U172" s="1087"/>
      <c r="V172" s="481"/>
      <c r="W172" s="1087"/>
      <c r="X172" s="1087"/>
      <c r="Y172" s="1087"/>
      <c r="Z172" s="1087"/>
      <c r="AA172" s="1087"/>
      <c r="AB172" s="1559"/>
      <c r="AC172" s="503"/>
      <c r="AD172" s="503"/>
      <c r="AE172" s="503"/>
      <c r="AF172" s="503"/>
      <c r="AG172" s="1568">
        <v>11</v>
      </c>
    </row>
    <row r="173" spans="1:33" s="1568" customFormat="1" ht="11.45" customHeight="1">
      <c r="A173" s="917"/>
      <c r="B173" s="1563"/>
      <c r="C173" s="1563"/>
      <c r="D173" s="288"/>
      <c r="L173" s="1087"/>
      <c r="M173" s="1563"/>
      <c r="N173" s="1563"/>
      <c r="O173" s="1087"/>
      <c r="P173" s="1087"/>
      <c r="Q173" s="1087"/>
      <c r="R173" s="1087"/>
      <c r="S173" s="1563"/>
      <c r="T173" s="1087"/>
      <c r="U173" s="1087"/>
      <c r="V173" s="481"/>
      <c r="W173" s="1087"/>
      <c r="X173" s="1087"/>
      <c r="Y173" s="1087"/>
      <c r="Z173" s="1087"/>
      <c r="AA173" s="1087"/>
      <c r="AB173" s="1559"/>
      <c r="AC173" s="503"/>
      <c r="AD173" s="503"/>
      <c r="AE173" s="503"/>
      <c r="AF173" s="503"/>
      <c r="AG173" s="1568">
        <v>11</v>
      </c>
    </row>
    <row r="174" spans="1:33" s="1568" customFormat="1" ht="11.45" customHeight="1">
      <c r="A174" s="917"/>
      <c r="B174" s="1563"/>
      <c r="C174" s="1563"/>
      <c r="D174" s="288"/>
      <c r="L174" s="1087"/>
      <c r="M174" s="1563"/>
      <c r="N174" s="1563"/>
      <c r="O174" s="1087"/>
      <c r="P174" s="1087"/>
      <c r="Q174" s="1087"/>
      <c r="R174" s="1087"/>
      <c r="S174" s="1563"/>
      <c r="T174" s="1087"/>
      <c r="U174" s="1087"/>
      <c r="V174" s="481"/>
      <c r="W174" s="1087"/>
      <c r="X174" s="1087"/>
      <c r="Y174" s="1087"/>
      <c r="Z174" s="1087"/>
      <c r="AA174" s="1087"/>
      <c r="AB174" s="1559"/>
      <c r="AC174" s="503"/>
      <c r="AD174" s="503"/>
      <c r="AE174" s="503"/>
      <c r="AF174" s="503"/>
      <c r="AG174" s="1568">
        <v>11</v>
      </c>
    </row>
    <row r="175" spans="1:33" s="1568" customFormat="1" ht="11.45" customHeight="1">
      <c r="A175" s="917"/>
      <c r="B175" s="1563"/>
      <c r="C175" s="1563"/>
      <c r="D175" s="288"/>
      <c r="L175" s="1087"/>
      <c r="M175" s="1563"/>
      <c r="N175" s="1563"/>
      <c r="O175" s="1087"/>
      <c r="P175" s="1087"/>
      <c r="Q175" s="1087"/>
      <c r="R175" s="1087"/>
      <c r="S175" s="1563"/>
      <c r="T175" s="1087"/>
      <c r="U175" s="1087"/>
      <c r="V175" s="481"/>
      <c r="W175" s="1087"/>
      <c r="X175" s="1087"/>
      <c r="Y175" s="1087"/>
      <c r="Z175" s="1087"/>
      <c r="AA175" s="1087"/>
      <c r="AB175" s="1559"/>
      <c r="AC175" s="503"/>
      <c r="AD175" s="503"/>
      <c r="AE175" s="503"/>
      <c r="AF175" s="503"/>
      <c r="AG175" s="1568">
        <v>11</v>
      </c>
    </row>
    <row r="176" spans="1:33" s="1568" customFormat="1" ht="11.45" customHeight="1">
      <c r="A176" s="917"/>
      <c r="B176" s="1563"/>
      <c r="C176" s="1563"/>
      <c r="D176" s="288"/>
      <c r="L176" s="1087"/>
      <c r="M176" s="1563"/>
      <c r="N176" s="1563"/>
      <c r="O176" s="1087"/>
      <c r="P176" s="1087"/>
      <c r="Q176" s="1087"/>
      <c r="R176" s="1087"/>
      <c r="S176" s="1563"/>
      <c r="T176" s="1087"/>
      <c r="U176" s="1087"/>
      <c r="V176" s="481"/>
      <c r="W176" s="1087"/>
      <c r="X176" s="1087"/>
      <c r="Y176" s="1087"/>
      <c r="Z176" s="1087"/>
      <c r="AA176" s="1087"/>
      <c r="AB176" s="1559"/>
      <c r="AC176" s="503"/>
      <c r="AD176" s="503"/>
      <c r="AE176" s="503"/>
      <c r="AF176" s="503"/>
      <c r="AG176" s="1568">
        <v>11</v>
      </c>
    </row>
    <row r="177" spans="1:33" s="1568" customFormat="1" ht="11.45" customHeight="1">
      <c r="A177" s="917"/>
      <c r="B177" s="1563"/>
      <c r="C177" s="1563"/>
      <c r="D177" s="288"/>
      <c r="L177" s="1087"/>
      <c r="M177" s="1563"/>
      <c r="N177" s="1563"/>
      <c r="O177" s="1087"/>
      <c r="P177" s="1087"/>
      <c r="Q177" s="1087"/>
      <c r="R177" s="1087"/>
      <c r="S177" s="1563"/>
      <c r="T177" s="1087"/>
      <c r="U177" s="1087"/>
      <c r="V177" s="481"/>
      <c r="W177" s="1087"/>
      <c r="X177" s="1087"/>
      <c r="Y177" s="1087"/>
      <c r="Z177" s="1087"/>
      <c r="AA177" s="1087"/>
      <c r="AB177" s="1559"/>
      <c r="AC177" s="503"/>
      <c r="AD177" s="503"/>
      <c r="AE177" s="503"/>
      <c r="AF177" s="503"/>
      <c r="AG177" s="1568">
        <v>11</v>
      </c>
    </row>
    <row r="178" spans="1:33" s="1568" customFormat="1" ht="11.45" customHeight="1">
      <c r="A178" s="917"/>
      <c r="B178" s="1563"/>
      <c r="C178" s="1563"/>
      <c r="D178" s="288"/>
      <c r="L178" s="1087"/>
      <c r="M178" s="1563"/>
      <c r="N178" s="1563"/>
      <c r="O178" s="1087"/>
      <c r="P178" s="1087"/>
      <c r="Q178" s="1087"/>
      <c r="R178" s="1087"/>
      <c r="S178" s="1563"/>
      <c r="T178" s="1087"/>
      <c r="U178" s="1087"/>
      <c r="V178" s="481"/>
      <c r="W178" s="1087"/>
      <c r="X178" s="1087"/>
      <c r="Y178" s="1087"/>
      <c r="Z178" s="1087"/>
      <c r="AA178" s="1087"/>
      <c r="AB178" s="1559"/>
      <c r="AC178" s="503"/>
      <c r="AD178" s="503"/>
      <c r="AE178" s="503"/>
      <c r="AF178" s="503"/>
      <c r="AG178" s="1568">
        <v>11</v>
      </c>
    </row>
    <row r="179" spans="1:33" s="1568" customFormat="1" ht="11.45" customHeight="1">
      <c r="A179" s="917"/>
      <c r="B179" s="1563"/>
      <c r="C179" s="1563"/>
      <c r="D179" s="288"/>
      <c r="L179" s="1087"/>
      <c r="M179" s="1563"/>
      <c r="N179" s="1563"/>
      <c r="O179" s="1087"/>
      <c r="P179" s="1087"/>
      <c r="Q179" s="1087"/>
      <c r="R179" s="1087"/>
      <c r="S179" s="1563"/>
      <c r="T179" s="1087"/>
      <c r="U179" s="1087"/>
      <c r="V179" s="481"/>
      <c r="W179" s="1087"/>
      <c r="X179" s="1087"/>
      <c r="Y179" s="1087"/>
      <c r="Z179" s="1087"/>
      <c r="AA179" s="1087"/>
      <c r="AB179" s="1559"/>
      <c r="AC179" s="503"/>
      <c r="AD179" s="503"/>
      <c r="AE179" s="503"/>
      <c r="AF179" s="503"/>
      <c r="AG179" s="1568">
        <v>11</v>
      </c>
    </row>
    <row r="180" spans="1:33" s="1568" customFormat="1" ht="11.45" customHeight="1">
      <c r="A180" s="917"/>
      <c r="B180" s="1563"/>
      <c r="C180" s="1563"/>
      <c r="D180" s="288"/>
      <c r="L180" s="1087"/>
      <c r="M180" s="1563"/>
      <c r="N180" s="1563"/>
      <c r="O180" s="1087"/>
      <c r="P180" s="1087"/>
      <c r="Q180" s="1087"/>
      <c r="R180" s="1087"/>
      <c r="S180" s="1563"/>
      <c r="T180" s="1087"/>
      <c r="U180" s="1087"/>
      <c r="V180" s="481"/>
      <c r="W180" s="1087"/>
      <c r="X180" s="1087"/>
      <c r="Y180" s="1087"/>
      <c r="Z180" s="1087"/>
      <c r="AA180" s="1087"/>
      <c r="AB180" s="1559"/>
      <c r="AC180" s="503"/>
      <c r="AD180" s="503"/>
      <c r="AE180" s="503"/>
      <c r="AF180" s="503"/>
      <c r="AG180" s="1568">
        <v>11</v>
      </c>
    </row>
    <row r="181" spans="1:33" s="1568" customFormat="1" ht="11.45" customHeight="1">
      <c r="A181" s="917"/>
      <c r="B181" s="1563"/>
      <c r="C181" s="1563"/>
      <c r="D181" s="288"/>
      <c r="L181" s="1087"/>
      <c r="M181" s="1563"/>
      <c r="N181" s="1563"/>
      <c r="O181" s="1087"/>
      <c r="P181" s="1087"/>
      <c r="Q181" s="1087"/>
      <c r="R181" s="1087"/>
      <c r="S181" s="1563"/>
      <c r="T181" s="1087"/>
      <c r="U181" s="1087"/>
      <c r="V181" s="481"/>
      <c r="W181" s="1087"/>
      <c r="X181" s="1087"/>
      <c r="Y181" s="1087"/>
      <c r="Z181" s="1087"/>
      <c r="AA181" s="1087"/>
      <c r="AB181" s="1559"/>
      <c r="AC181" s="503"/>
      <c r="AD181" s="503"/>
      <c r="AE181" s="503"/>
      <c r="AF181" s="503"/>
      <c r="AG181" s="1568">
        <v>11</v>
      </c>
    </row>
    <row r="182" spans="1:33" s="1568" customFormat="1" ht="11.45" customHeight="1">
      <c r="A182" s="917"/>
      <c r="B182" s="1563"/>
      <c r="C182" s="1563"/>
      <c r="D182" s="288"/>
      <c r="L182" s="1087"/>
      <c r="M182" s="1563"/>
      <c r="N182" s="1563"/>
      <c r="O182" s="1087"/>
      <c r="P182" s="1087"/>
      <c r="Q182" s="1087"/>
      <c r="R182" s="1087"/>
      <c r="S182" s="1563"/>
      <c r="T182" s="1087"/>
      <c r="U182" s="1087"/>
      <c r="V182" s="481"/>
      <c r="W182" s="1087"/>
      <c r="X182" s="1087"/>
      <c r="Y182" s="1087"/>
      <c r="Z182" s="1087"/>
      <c r="AA182" s="1087"/>
      <c r="AB182" s="1559"/>
      <c r="AC182" s="503"/>
      <c r="AD182" s="503"/>
      <c r="AE182" s="503"/>
      <c r="AF182" s="503"/>
      <c r="AG182" s="1568">
        <v>11</v>
      </c>
    </row>
    <row r="183" spans="1:33" s="1568" customFormat="1" ht="11.45" customHeight="1">
      <c r="A183" s="917"/>
      <c r="B183" s="1563"/>
      <c r="C183" s="1563"/>
      <c r="D183" s="288"/>
      <c r="L183" s="1087"/>
      <c r="M183" s="1563"/>
      <c r="N183" s="1563"/>
      <c r="O183" s="1087"/>
      <c r="P183" s="1087"/>
      <c r="Q183" s="1087"/>
      <c r="R183" s="1087"/>
      <c r="S183" s="1563"/>
      <c r="T183" s="1087"/>
      <c r="U183" s="1087"/>
      <c r="V183" s="481"/>
      <c r="W183" s="1087"/>
      <c r="X183" s="1087"/>
      <c r="Y183" s="1087"/>
      <c r="Z183" s="1087"/>
      <c r="AA183" s="1087"/>
      <c r="AB183" s="1559"/>
      <c r="AC183" s="503"/>
      <c r="AD183" s="503"/>
      <c r="AE183" s="503"/>
      <c r="AF183" s="503"/>
      <c r="AG183" s="1568">
        <v>11</v>
      </c>
    </row>
    <row r="184" spans="1:33" s="1568" customFormat="1" ht="11.45" customHeight="1">
      <c r="A184" s="917"/>
      <c r="B184" s="1563"/>
      <c r="C184" s="1563"/>
      <c r="D184" s="288"/>
      <c r="L184" s="1087"/>
      <c r="M184" s="1563"/>
      <c r="N184" s="1563"/>
      <c r="O184" s="1087"/>
      <c r="P184" s="1087"/>
      <c r="Q184" s="1087"/>
      <c r="R184" s="1087"/>
      <c r="S184" s="1563"/>
      <c r="T184" s="1087"/>
      <c r="U184" s="1087"/>
      <c r="V184" s="481"/>
      <c r="W184" s="1087"/>
      <c r="X184" s="1087"/>
      <c r="Y184" s="1087"/>
      <c r="Z184" s="1087"/>
      <c r="AA184" s="1087"/>
      <c r="AB184" s="1559"/>
      <c r="AC184" s="503"/>
      <c r="AD184" s="503"/>
      <c r="AE184" s="503"/>
      <c r="AF184" s="503"/>
      <c r="AG184" s="1568">
        <v>11</v>
      </c>
    </row>
    <row r="185" spans="1:33" s="1568" customFormat="1" ht="11.45" customHeight="1">
      <c r="A185" s="917"/>
      <c r="B185" s="1563"/>
      <c r="C185" s="1563"/>
      <c r="D185" s="288"/>
      <c r="L185" s="1087"/>
      <c r="M185" s="1563"/>
      <c r="N185" s="1563"/>
      <c r="O185" s="1087"/>
      <c r="P185" s="1087"/>
      <c r="Q185" s="1087"/>
      <c r="R185" s="1087"/>
      <c r="S185" s="1563"/>
      <c r="T185" s="1087"/>
      <c r="U185" s="1087"/>
      <c r="V185" s="481"/>
      <c r="W185" s="1087"/>
      <c r="X185" s="1087"/>
      <c r="Y185" s="1087"/>
      <c r="Z185" s="1087"/>
      <c r="AA185" s="1087"/>
      <c r="AB185" s="1559"/>
      <c r="AC185" s="503"/>
      <c r="AD185" s="503"/>
      <c r="AE185" s="503"/>
      <c r="AF185" s="503"/>
      <c r="AG185" s="1568">
        <v>11</v>
      </c>
    </row>
    <row r="186" spans="1:33" s="1568" customFormat="1" ht="11.45" customHeight="1">
      <c r="A186" s="917"/>
      <c r="B186" s="1563"/>
      <c r="C186" s="1563"/>
      <c r="D186" s="288"/>
      <c r="L186" s="1087"/>
      <c r="M186" s="1563"/>
      <c r="N186" s="1563"/>
      <c r="O186" s="1087"/>
      <c r="P186" s="1087"/>
      <c r="Q186" s="1087"/>
      <c r="R186" s="1087"/>
      <c r="S186" s="1563"/>
      <c r="T186" s="1087"/>
      <c r="U186" s="1087"/>
      <c r="V186" s="481"/>
      <c r="W186" s="1087"/>
      <c r="X186" s="1087"/>
      <c r="Y186" s="1087"/>
      <c r="Z186" s="1087"/>
      <c r="AA186" s="1087"/>
      <c r="AB186" s="1559"/>
      <c r="AC186" s="503"/>
      <c r="AD186" s="503"/>
      <c r="AE186" s="503"/>
      <c r="AF186" s="503"/>
      <c r="AG186" s="1568">
        <v>11</v>
      </c>
    </row>
    <row r="187" spans="1:33" s="1568" customFormat="1" ht="11.45" customHeight="1">
      <c r="A187" s="917"/>
      <c r="B187" s="1563"/>
      <c r="C187" s="1563"/>
      <c r="D187" s="288"/>
      <c r="L187" s="1087"/>
      <c r="M187" s="1563"/>
      <c r="N187" s="1563"/>
      <c r="O187" s="1087"/>
      <c r="P187" s="1087"/>
      <c r="Q187" s="1087"/>
      <c r="R187" s="1087"/>
      <c r="S187" s="1563"/>
      <c r="T187" s="1087"/>
      <c r="U187" s="1087"/>
      <c r="V187" s="481"/>
      <c r="W187" s="1087"/>
      <c r="X187" s="1087"/>
      <c r="Y187" s="1087"/>
      <c r="Z187" s="1087"/>
      <c r="AA187" s="1087"/>
      <c r="AB187" s="1559"/>
      <c r="AC187" s="503"/>
      <c r="AD187" s="503"/>
      <c r="AE187" s="503"/>
      <c r="AF187" s="503"/>
      <c r="AG187" s="1568">
        <v>11</v>
      </c>
    </row>
    <row r="188" spans="1:33" s="1568" customFormat="1" ht="11.45" customHeight="1">
      <c r="A188" s="917"/>
      <c r="B188" s="1563"/>
      <c r="C188" s="1563"/>
      <c r="D188" s="288"/>
      <c r="L188" s="1087"/>
      <c r="M188" s="1563"/>
      <c r="N188" s="1563"/>
      <c r="O188" s="1087"/>
      <c r="P188" s="1087"/>
      <c r="Q188" s="1087"/>
      <c r="R188" s="1087"/>
      <c r="S188" s="1563"/>
      <c r="T188" s="1087"/>
      <c r="U188" s="1087"/>
      <c r="V188" s="481"/>
      <c r="W188" s="1087"/>
      <c r="X188" s="1087"/>
      <c r="Y188" s="1087"/>
      <c r="Z188" s="1087"/>
      <c r="AA188" s="1087"/>
      <c r="AB188" s="1559"/>
      <c r="AC188" s="503"/>
      <c r="AD188" s="503"/>
      <c r="AE188" s="503"/>
      <c r="AF188" s="503"/>
      <c r="AG188" s="1568">
        <v>11</v>
      </c>
    </row>
    <row r="189" spans="1:33" s="1568" customFormat="1" ht="11.45" customHeight="1">
      <c r="A189" s="917"/>
      <c r="B189" s="1563"/>
      <c r="C189" s="1563"/>
      <c r="D189" s="288"/>
      <c r="L189" s="1087"/>
      <c r="M189" s="1563"/>
      <c r="N189" s="1563"/>
      <c r="O189" s="1087"/>
      <c r="P189" s="1087"/>
      <c r="Q189" s="1087"/>
      <c r="R189" s="1087"/>
      <c r="S189" s="1563"/>
      <c r="T189" s="1087"/>
      <c r="U189" s="1087"/>
      <c r="V189" s="481"/>
      <c r="W189" s="1087"/>
      <c r="X189" s="1087"/>
      <c r="Y189" s="1087"/>
      <c r="Z189" s="1087"/>
      <c r="AA189" s="1087"/>
      <c r="AB189" s="1559"/>
      <c r="AC189" s="503"/>
      <c r="AD189" s="503"/>
      <c r="AE189" s="503"/>
      <c r="AF189" s="503"/>
      <c r="AG189" s="1568">
        <v>11</v>
      </c>
    </row>
    <row r="190" spans="1:33" s="1568" customFormat="1" ht="11.45" customHeight="1">
      <c r="A190" s="917"/>
      <c r="B190" s="1563"/>
      <c r="C190" s="1563"/>
      <c r="D190" s="288"/>
      <c r="L190" s="1087"/>
      <c r="M190" s="1563"/>
      <c r="N190" s="1563"/>
      <c r="O190" s="1087"/>
      <c r="P190" s="1087"/>
      <c r="Q190" s="1087"/>
      <c r="R190" s="1087"/>
      <c r="S190" s="1563"/>
      <c r="T190" s="1087"/>
      <c r="U190" s="1087"/>
      <c r="V190" s="481"/>
      <c r="W190" s="1087"/>
      <c r="X190" s="1087"/>
      <c r="Y190" s="1087"/>
      <c r="Z190" s="1087"/>
      <c r="AA190" s="1087"/>
      <c r="AB190" s="1559"/>
      <c r="AC190" s="503"/>
      <c r="AD190" s="503"/>
      <c r="AE190" s="503"/>
      <c r="AF190" s="503"/>
      <c r="AG190" s="1568">
        <v>11</v>
      </c>
    </row>
    <row r="191" spans="1:33" s="1568" customFormat="1" ht="11.45" customHeight="1">
      <c r="A191" s="917"/>
      <c r="B191" s="1563"/>
      <c r="C191" s="1563"/>
      <c r="D191" s="288"/>
      <c r="L191" s="1087"/>
      <c r="M191" s="1563"/>
      <c r="N191" s="1563"/>
      <c r="O191" s="1087"/>
      <c r="P191" s="1087"/>
      <c r="Q191" s="1087"/>
      <c r="R191" s="1087"/>
      <c r="S191" s="1563"/>
      <c r="T191" s="1087"/>
      <c r="U191" s="1087"/>
      <c r="V191" s="481"/>
      <c r="W191" s="1087"/>
      <c r="X191" s="1087"/>
      <c r="Y191" s="1087"/>
      <c r="Z191" s="1087"/>
      <c r="AA191" s="1087"/>
      <c r="AB191" s="1559"/>
      <c r="AC191" s="503"/>
      <c r="AD191" s="503"/>
      <c r="AE191" s="503"/>
      <c r="AF191" s="503"/>
      <c r="AG191" s="1568">
        <v>11</v>
      </c>
    </row>
    <row r="192" spans="1:33" s="1568" customFormat="1" ht="11.45" customHeight="1">
      <c r="A192" s="917"/>
      <c r="B192" s="1563"/>
      <c r="C192" s="1563"/>
      <c r="D192" s="288"/>
      <c r="L192" s="1087"/>
      <c r="M192" s="1563"/>
      <c r="N192" s="1563"/>
      <c r="O192" s="1087"/>
      <c r="P192" s="1087"/>
      <c r="Q192" s="1087"/>
      <c r="R192" s="1087"/>
      <c r="S192" s="1563"/>
      <c r="T192" s="1087"/>
      <c r="U192" s="1087"/>
      <c r="V192" s="481"/>
      <c r="W192" s="1087"/>
      <c r="X192" s="1087"/>
      <c r="Y192" s="1087"/>
      <c r="Z192" s="1087"/>
      <c r="AA192" s="1087"/>
      <c r="AB192" s="1559"/>
      <c r="AC192" s="503"/>
      <c r="AD192" s="503"/>
      <c r="AE192" s="503"/>
      <c r="AF192" s="503"/>
      <c r="AG192" s="1568">
        <v>11</v>
      </c>
    </row>
    <row r="193" spans="1:33" s="1568" customFormat="1" ht="11.45" customHeight="1">
      <c r="A193" s="917"/>
      <c r="B193" s="1563"/>
      <c r="C193" s="1563"/>
      <c r="D193" s="288"/>
      <c r="L193" s="1087"/>
      <c r="M193" s="1563"/>
      <c r="N193" s="1563"/>
      <c r="O193" s="1087"/>
      <c r="P193" s="1087"/>
      <c r="Q193" s="1087"/>
      <c r="R193" s="1087"/>
      <c r="S193" s="1563"/>
      <c r="T193" s="1087"/>
      <c r="U193" s="1087"/>
      <c r="V193" s="481"/>
      <c r="W193" s="1087"/>
      <c r="X193" s="1087"/>
      <c r="Y193" s="1087"/>
      <c r="Z193" s="1087"/>
      <c r="AA193" s="1087"/>
      <c r="AB193" s="1559"/>
      <c r="AC193" s="503"/>
      <c r="AD193" s="503"/>
      <c r="AE193" s="503"/>
      <c r="AF193" s="503"/>
      <c r="AG193" s="1568">
        <v>11</v>
      </c>
    </row>
    <row r="194" spans="1:33" s="1568" customFormat="1" ht="11.45" customHeight="1">
      <c r="A194" s="917"/>
      <c r="B194" s="1563"/>
      <c r="C194" s="1563"/>
      <c r="D194" s="288"/>
      <c r="L194" s="1087"/>
      <c r="M194" s="1563"/>
      <c r="N194" s="1563"/>
      <c r="O194" s="1087"/>
      <c r="P194" s="1087"/>
      <c r="Q194" s="1087"/>
      <c r="R194" s="1087"/>
      <c r="S194" s="1563"/>
      <c r="T194" s="1087"/>
      <c r="U194" s="1087"/>
      <c r="V194" s="481"/>
      <c r="W194" s="1087"/>
      <c r="X194" s="1087"/>
      <c r="Y194" s="1087"/>
      <c r="Z194" s="1087"/>
      <c r="AA194" s="1087"/>
      <c r="AB194" s="1559"/>
      <c r="AC194" s="503"/>
      <c r="AD194" s="503"/>
      <c r="AE194" s="503"/>
      <c r="AF194" s="503"/>
      <c r="AG194" s="1568">
        <v>11</v>
      </c>
    </row>
    <row r="195" spans="1:33" s="1568" customFormat="1" ht="11.45" customHeight="1">
      <c r="A195" s="917"/>
      <c r="B195" s="1563"/>
      <c r="C195" s="1563"/>
      <c r="D195" s="288"/>
      <c r="L195" s="1087"/>
      <c r="M195" s="1563"/>
      <c r="N195" s="1563"/>
      <c r="O195" s="1087"/>
      <c r="P195" s="1087"/>
      <c r="Q195" s="1087"/>
      <c r="R195" s="1087"/>
      <c r="S195" s="1563"/>
      <c r="T195" s="1087"/>
      <c r="U195" s="1087"/>
      <c r="V195" s="481"/>
      <c r="W195" s="1087"/>
      <c r="X195" s="1087"/>
      <c r="Y195" s="1087"/>
      <c r="Z195" s="1087"/>
      <c r="AA195" s="1087"/>
      <c r="AB195" s="1559"/>
      <c r="AC195" s="503"/>
      <c r="AD195" s="503"/>
      <c r="AE195" s="503"/>
      <c r="AF195" s="503"/>
      <c r="AG195" s="1568">
        <v>11</v>
      </c>
    </row>
    <row r="196" spans="1:33" ht="11.45" customHeight="1">
      <c r="AG196" s="1558">
        <v>11</v>
      </c>
    </row>
    <row r="197" spans="1:33" ht="11.45" customHeight="1">
      <c r="AG197" s="1558">
        <v>11</v>
      </c>
    </row>
    <row r="198" spans="1:33" ht="11.45" customHeight="1">
      <c r="AG198" s="1558">
        <v>11</v>
      </c>
    </row>
    <row r="199" spans="1:33" ht="11.45" customHeight="1">
      <c r="A199" s="920"/>
      <c r="B199" s="1558"/>
      <c r="D199" s="1558"/>
      <c r="L199" s="1558"/>
      <c r="O199" s="1558"/>
      <c r="P199" s="1558"/>
      <c r="Q199" s="1558"/>
      <c r="R199" s="1558"/>
      <c r="T199" s="1558"/>
      <c r="U199" s="1558"/>
      <c r="V199" s="1558"/>
      <c r="W199" s="1558"/>
      <c r="X199" s="1558"/>
      <c r="Y199" s="1558"/>
      <c r="Z199" s="1558"/>
      <c r="AA199" s="1558"/>
      <c r="AB199" s="1558"/>
      <c r="AC199" s="1558"/>
      <c r="AD199" s="1558"/>
      <c r="AE199" s="1558"/>
      <c r="AF199" s="1558"/>
      <c r="AG199" s="1558">
        <v>11</v>
      </c>
    </row>
    <row r="200" spans="1:33" ht="11.45" customHeight="1">
      <c r="A200" s="920"/>
      <c r="B200" s="1558"/>
      <c r="D200" s="1558"/>
      <c r="L200" s="1558"/>
      <c r="O200" s="1558"/>
      <c r="P200" s="1558"/>
      <c r="Q200" s="1558"/>
      <c r="R200" s="1558"/>
      <c r="T200" s="1558"/>
      <c r="U200" s="1558"/>
      <c r="V200" s="1558"/>
      <c r="W200" s="1558"/>
      <c r="X200" s="1558"/>
      <c r="Y200" s="1558"/>
      <c r="Z200" s="1558"/>
      <c r="AA200" s="1558"/>
      <c r="AB200" s="1558"/>
      <c r="AC200" s="1558"/>
      <c r="AD200" s="1558"/>
      <c r="AE200" s="1558"/>
      <c r="AF200" s="1558"/>
      <c r="AG200" s="1558">
        <v>11</v>
      </c>
    </row>
    <row r="201" spans="1:33" ht="11.45" customHeight="1">
      <c r="A201" s="920"/>
      <c r="B201" s="1558"/>
      <c r="D201" s="1558"/>
      <c r="L201" s="1558"/>
      <c r="O201" s="1558"/>
      <c r="P201" s="1558"/>
      <c r="Q201" s="1558"/>
      <c r="R201" s="1558"/>
      <c r="T201" s="1558"/>
      <c r="U201" s="1558"/>
      <c r="V201" s="1558"/>
      <c r="W201" s="1558"/>
      <c r="X201" s="1558"/>
      <c r="Y201" s="1558"/>
      <c r="Z201" s="1558"/>
      <c r="AA201" s="1558"/>
      <c r="AB201" s="1558"/>
      <c r="AC201" s="1558"/>
      <c r="AD201" s="1558"/>
      <c r="AE201" s="1558"/>
      <c r="AF201" s="1558"/>
      <c r="AG201" s="1558">
        <v>11</v>
      </c>
    </row>
    <row r="202" spans="1:33" ht="11.45" customHeight="1">
      <c r="A202" s="920"/>
      <c r="B202" s="1558"/>
      <c r="D202" s="1558"/>
      <c r="L202" s="1558"/>
      <c r="O202" s="1558"/>
      <c r="P202" s="1558"/>
      <c r="Q202" s="1558"/>
      <c r="R202" s="1558"/>
      <c r="T202" s="1558"/>
      <c r="U202" s="1558"/>
      <c r="V202" s="1558"/>
      <c r="W202" s="1558"/>
      <c r="X202" s="1558"/>
      <c r="Y202" s="1558"/>
      <c r="Z202" s="1558"/>
      <c r="AA202" s="1558"/>
      <c r="AB202" s="1558"/>
      <c r="AC202" s="1558"/>
      <c r="AD202" s="1558"/>
      <c r="AE202" s="1558"/>
      <c r="AF202" s="1558"/>
      <c r="AG202" s="1558">
        <v>11</v>
      </c>
    </row>
    <row r="203" spans="1:33" ht="11.45" customHeight="1">
      <c r="A203" s="920"/>
      <c r="B203" s="1558"/>
      <c r="D203" s="1558"/>
      <c r="L203" s="1558"/>
      <c r="O203" s="1558"/>
      <c r="P203" s="1558"/>
      <c r="Q203" s="1558"/>
      <c r="R203" s="1558"/>
      <c r="T203" s="1558"/>
      <c r="U203" s="1558"/>
      <c r="V203" s="1558"/>
      <c r="W203" s="1558"/>
      <c r="X203" s="1558"/>
      <c r="Y203" s="1558"/>
      <c r="Z203" s="1558"/>
      <c r="AA203" s="1558"/>
      <c r="AB203" s="1558"/>
      <c r="AC203" s="1558"/>
      <c r="AD203" s="1558"/>
      <c r="AE203" s="1558"/>
      <c r="AF203" s="1558"/>
      <c r="AG203" s="1558">
        <v>11</v>
      </c>
    </row>
    <row r="204" spans="1:33" ht="11.45" customHeight="1">
      <c r="A204" s="920"/>
      <c r="B204" s="1558"/>
      <c r="D204" s="1558"/>
      <c r="L204" s="1558"/>
      <c r="O204" s="1558"/>
      <c r="P204" s="1558"/>
      <c r="Q204" s="1558"/>
      <c r="R204" s="1558"/>
      <c r="T204" s="1558"/>
      <c r="U204" s="1558"/>
      <c r="V204" s="1558"/>
      <c r="W204" s="1558"/>
      <c r="X204" s="1558"/>
      <c r="Y204" s="1558"/>
      <c r="Z204" s="1558"/>
      <c r="AA204" s="1558"/>
      <c r="AB204" s="1558"/>
      <c r="AC204" s="1558"/>
      <c r="AD204" s="1558"/>
      <c r="AE204" s="1558"/>
      <c r="AF204" s="1558"/>
      <c r="AG204" s="1558">
        <v>11</v>
      </c>
    </row>
    <row r="205" spans="1:33" ht="11.45" customHeight="1">
      <c r="A205" s="920"/>
      <c r="B205" s="1558"/>
      <c r="D205" s="1558"/>
      <c r="L205" s="1558"/>
      <c r="O205" s="1558"/>
      <c r="P205" s="1558"/>
      <c r="Q205" s="1558"/>
      <c r="R205" s="1558"/>
      <c r="T205" s="1558"/>
      <c r="U205" s="1558"/>
      <c r="V205" s="1558"/>
      <c r="W205" s="1558"/>
      <c r="X205" s="1558"/>
      <c r="Y205" s="1558"/>
      <c r="Z205" s="1558"/>
      <c r="AA205" s="1558"/>
      <c r="AB205" s="1558"/>
      <c r="AC205" s="1558"/>
      <c r="AD205" s="1558"/>
      <c r="AE205" s="1558"/>
      <c r="AF205" s="1558"/>
      <c r="AG205" s="1558">
        <v>11</v>
      </c>
    </row>
    <row r="206" spans="1:33" ht="11.45" customHeight="1">
      <c r="A206" s="920"/>
      <c r="B206" s="1558"/>
      <c r="D206" s="1558"/>
      <c r="L206" s="1558"/>
      <c r="O206" s="1558"/>
      <c r="P206" s="1558"/>
      <c r="Q206" s="1558"/>
      <c r="R206" s="1558"/>
      <c r="T206" s="1558"/>
      <c r="U206" s="1558"/>
      <c r="V206" s="1558"/>
      <c r="W206" s="1558"/>
      <c r="X206" s="1558"/>
      <c r="Y206" s="1558"/>
      <c r="Z206" s="1558"/>
      <c r="AA206" s="1558"/>
      <c r="AB206" s="1558"/>
      <c r="AC206" s="1558"/>
      <c r="AD206" s="1558"/>
      <c r="AE206" s="1558"/>
      <c r="AF206" s="1558"/>
      <c r="AG206" s="1558">
        <v>11</v>
      </c>
    </row>
    <row r="207" spans="1:33" ht="11.45" customHeight="1">
      <c r="A207" s="920"/>
      <c r="B207" s="1558"/>
      <c r="D207" s="1558"/>
      <c r="L207" s="1558"/>
      <c r="O207" s="1558"/>
      <c r="P207" s="1558"/>
      <c r="Q207" s="1558"/>
      <c r="R207" s="1558"/>
      <c r="T207" s="1558"/>
      <c r="U207" s="1558"/>
      <c r="V207" s="1558"/>
      <c r="W207" s="1558"/>
      <c r="X207" s="1558"/>
      <c r="Y207" s="1558"/>
      <c r="Z207" s="1558"/>
      <c r="AA207" s="1558"/>
      <c r="AB207" s="1558"/>
      <c r="AC207" s="1558"/>
      <c r="AD207" s="1558"/>
      <c r="AE207" s="1558"/>
      <c r="AF207" s="1558"/>
      <c r="AG207" s="1558">
        <v>11</v>
      </c>
    </row>
    <row r="208" spans="1:33" ht="11.45" customHeight="1">
      <c r="A208" s="920"/>
      <c r="B208" s="1558"/>
      <c r="D208" s="1558"/>
      <c r="L208" s="1558"/>
      <c r="O208" s="1558"/>
      <c r="P208" s="1558"/>
      <c r="Q208" s="1558"/>
      <c r="R208" s="1558"/>
      <c r="T208" s="1558"/>
      <c r="U208" s="1558"/>
      <c r="V208" s="1558"/>
      <c r="W208" s="1558"/>
      <c r="X208" s="1558"/>
      <c r="Y208" s="1558"/>
      <c r="Z208" s="1558"/>
      <c r="AA208" s="1558"/>
      <c r="AB208" s="1558"/>
      <c r="AC208" s="1558"/>
      <c r="AD208" s="1558"/>
      <c r="AE208" s="1558"/>
      <c r="AF208" s="1558"/>
      <c r="AG208" s="1558">
        <v>11</v>
      </c>
    </row>
    <row r="209" spans="1:33" ht="11.45" customHeight="1">
      <c r="A209" s="920"/>
      <c r="B209" s="1558"/>
      <c r="D209" s="1558"/>
      <c r="L209" s="1558"/>
      <c r="O209" s="1558"/>
      <c r="P209" s="1558"/>
      <c r="Q209" s="1558"/>
      <c r="R209" s="1558"/>
      <c r="T209" s="1558"/>
      <c r="U209" s="1558"/>
      <c r="V209" s="1558"/>
      <c r="W209" s="1558"/>
      <c r="X209" s="1558"/>
      <c r="Y209" s="1558"/>
      <c r="Z209" s="1558"/>
      <c r="AA209" s="1558"/>
      <c r="AB209" s="1558"/>
      <c r="AC209" s="1558"/>
      <c r="AD209" s="1558"/>
      <c r="AE209" s="1558"/>
      <c r="AF209" s="1558"/>
      <c r="AG209" s="1558">
        <v>11</v>
      </c>
    </row>
    <row r="210" spans="1:33" ht="11.25" hidden="1" customHeight="1">
      <c r="A210" s="917" t="s">
        <v>81</v>
      </c>
      <c r="B210" s="1087">
        <v>0</v>
      </c>
      <c r="C210" s="1563">
        <v>0</v>
      </c>
      <c r="D210" s="1562">
        <v>3</v>
      </c>
      <c r="E210" s="1558">
        <v>7</v>
      </c>
      <c r="F210" s="1558">
        <v>54</v>
      </c>
      <c r="G210" s="1558">
        <v>10</v>
      </c>
      <c r="H210" s="1558">
        <v>0</v>
      </c>
      <c r="I210" s="1558">
        <v>40</v>
      </c>
      <c r="J210" s="1562">
        <v>0</v>
      </c>
      <c r="K210" s="1558">
        <v>102</v>
      </c>
      <c r="L210" s="1087">
        <v>9</v>
      </c>
      <c r="M210" s="1563">
        <v>5</v>
      </c>
      <c r="N210" s="1563">
        <v>3</v>
      </c>
      <c r="O210" s="1087">
        <v>3</v>
      </c>
      <c r="P210" s="1087">
        <v>3</v>
      </c>
      <c r="Q210" s="1087">
        <v>3</v>
      </c>
      <c r="R210" s="1087">
        <v>3</v>
      </c>
      <c r="S210" s="1563">
        <v>10</v>
      </c>
      <c r="T210" s="1087">
        <v>34</v>
      </c>
      <c r="U210" s="1087">
        <v>9</v>
      </c>
      <c r="V210" s="481">
        <v>8</v>
      </c>
      <c r="W210" s="1087">
        <v>8</v>
      </c>
      <c r="X210" s="1087">
        <v>8</v>
      </c>
      <c r="Y210" s="1087">
        <v>8</v>
      </c>
      <c r="Z210" s="1087">
        <v>8</v>
      </c>
      <c r="AA210" s="1087">
        <v>8</v>
      </c>
      <c r="AB210" s="1559">
        <v>8</v>
      </c>
      <c r="AC210" s="1559">
        <v>8</v>
      </c>
      <c r="AD210" s="1559">
        <v>8</v>
      </c>
      <c r="AE210" s="1559">
        <v>8</v>
      </c>
      <c r="AF210" s="1559">
        <v>8</v>
      </c>
      <c r="AG210" s="1558">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48576"/>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2" width="44" style="1562" customWidth="1"/>
    <col min="13" max="13" width="73" style="1562" customWidth="1"/>
    <col min="14" max="14" width="3" style="1562" customWidth="1"/>
    <col min="15" max="25" width="10" style="1562" customWidth="1"/>
    <col min="26" max="26" width="10.5703125" style="1562" hidden="1"/>
  </cols>
  <sheetData>
    <row r="1" spans="1:26" s="1293" customFormat="1" ht="22.5" hidden="1" customHeight="1">
      <c r="A1" s="473"/>
      <c r="B1" s="448"/>
      <c r="G1" s="354">
        <v>4</v>
      </c>
      <c r="I1" s="354">
        <v>4</v>
      </c>
      <c r="K1" s="1293">
        <v>4</v>
      </c>
      <c r="M1" s="354">
        <v>5</v>
      </c>
      <c r="Z1" s="354" t="s">
        <v>14</v>
      </c>
    </row>
    <row r="2" spans="1:26" ht="3" customHeight="1">
      <c r="Z2" s="442">
        <v>3</v>
      </c>
    </row>
    <row r="3" spans="1:26" ht="78.75" customHeight="1">
      <c r="D3" s="208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85"/>
      <c r="F3" s="2086"/>
      <c r="Z3" s="442">
        <v>75</v>
      </c>
    </row>
    <row r="4" spans="1:26" s="1562" customFormat="1" ht="21" customHeight="1">
      <c r="A4" s="881"/>
      <c r="B4" s="448"/>
      <c r="D4" s="2194" t="str">
        <f>IF(org=0,"Не определено",org)</f>
        <v>МУП "Михайловское водопроводно-канализационное хозяйство"</v>
      </c>
      <c r="E4" s="2195"/>
      <c r="F4" s="2196"/>
      <c r="Z4" s="693">
        <v>20</v>
      </c>
    </row>
    <row r="5" spans="1:26" ht="11.45" customHeight="1">
      <c r="C5" s="446"/>
      <c r="D5" s="525"/>
      <c r="E5" s="525"/>
      <c r="F5" s="525"/>
      <c r="G5" s="525"/>
      <c r="H5" s="689"/>
      <c r="I5" s="525"/>
      <c r="J5" s="689"/>
      <c r="L5" s="689"/>
      <c r="M5" s="525"/>
      <c r="Z5" s="442">
        <v>11</v>
      </c>
    </row>
    <row r="6" spans="1:26" ht="1.1499999999999999" customHeight="1">
      <c r="C6" s="446"/>
      <c r="D6" s="446"/>
      <c r="E6" s="459"/>
      <c r="F6" s="551"/>
      <c r="G6" s="952"/>
      <c r="H6" s="952"/>
      <c r="I6" s="952" t="s">
        <v>117</v>
      </c>
      <c r="J6" s="952"/>
      <c r="K6" s="952" t="s">
        <v>122</v>
      </c>
      <c r="L6" s="952"/>
      <c r="Z6" s="442">
        <v>1</v>
      </c>
    </row>
    <row r="7" spans="1:26" ht="11.45" customHeight="1">
      <c r="D7" s="648"/>
      <c r="E7" s="2306" t="s">
        <v>104</v>
      </c>
      <c r="F7" s="2307"/>
      <c r="G7" s="2329" t="str">
        <f>IF(G6="","",INDEX(DIFFERENTIATION_UNMERGE_VD,MATCH(G6,DIFFERENTIATION_ID_DIFF,0)))</f>
        <v/>
      </c>
      <c r="H7" s="2330"/>
      <c r="I7" s="2329" t="str">
        <f>IF(I6="","",INDEX(DIFFERENTIATION_UNMERGE_VD,MATCH(I6,DIFFERENTIATION_ID_DIFF,0)))</f>
        <v>Подключение (технологическое присоединение) к централизованной системе водоснабжения</v>
      </c>
      <c r="J7" s="2330"/>
      <c r="K7" s="2329" t="str">
        <f>IF(K6="","",INDEX(DIFFERENTIATION_UNMERGE_VD,MATCH(K6,DIFFERENTIATION_ID_DIFF,0)))</f>
        <v>Подключение (технологическое присоединение) к централизованной системе водоснабжения</v>
      </c>
      <c r="L7" s="2330"/>
      <c r="M7" s="2150"/>
      <c r="N7" s="446"/>
      <c r="Z7" s="442">
        <v>11</v>
      </c>
    </row>
    <row r="8" spans="1:26" ht="11.45" customHeight="1">
      <c r="A8" s="641"/>
      <c r="D8" s="648"/>
      <c r="E8" s="2306" t="s">
        <v>566</v>
      </c>
      <c r="F8" s="2307"/>
      <c r="G8" s="2329" t="str">
        <f>IF(G6="","",INDEX(DIFFERENTIATION_UNMERGE_AREA,MATCH(G6,DIFFERENTIATION_ID_DIFF,0)))</f>
        <v/>
      </c>
      <c r="H8" s="2330"/>
      <c r="I8" s="2329" t="str">
        <f>IF(I6="","",INDEX(DIFFERENTIATION_UNMERGE_AREA,MATCH(I6,DIFFERENTIATION_ID_DIFF,0)))</f>
        <v>без дифференциации</v>
      </c>
      <c r="J8" s="2330"/>
      <c r="K8" s="2329" t="str">
        <f>IF(K6="","",INDEX(DIFFERENTIATION_UNMERGE_AREA,MATCH(K6,DIFFERENTIATION_ID_DIFF,0)))</f>
        <v>без дифференциации</v>
      </c>
      <c r="L8" s="2330"/>
      <c r="M8" s="2155"/>
      <c r="N8" s="446"/>
      <c r="Z8" s="442">
        <v>11</v>
      </c>
    </row>
    <row r="9" spans="1:26" ht="11.45" customHeight="1">
      <c r="A9" s="641"/>
      <c r="D9" s="648"/>
      <c r="E9" s="2306" t="s">
        <v>567</v>
      </c>
      <c r="F9" s="2307"/>
      <c r="G9" s="2329" t="str">
        <f>IF(G6="","",INDEX(DIFFERENTIATION_UNMERGE_SYSTEM,MATCH(G6,DIFFERENTIATION_ID_DIFF,0)))</f>
        <v/>
      </c>
      <c r="H9" s="2330"/>
      <c r="I9" s="2329" t="str">
        <f>IF(I6="","",INDEX(DIFFERENTIATION_UNMERGE_SYSTEM,MATCH(I6,DIFFERENTIATION_ID_DIFF,0)))</f>
        <v>Централизованная система водоснабжения (питьевая вода)</v>
      </c>
      <c r="J9" s="2330"/>
      <c r="K9" s="2329" t="str">
        <f>IF(K6="","",INDEX(DIFFERENTIATION_UNMERGE_SYSTEM,MATCH(K6,DIFFERENTIATION_ID_DIFF,0)))</f>
        <v>Централизованная система водоснабжения (техническая вода)</v>
      </c>
      <c r="L9" s="2330"/>
      <c r="M9" s="2155"/>
      <c r="N9" s="446"/>
      <c r="Z9" s="442">
        <v>11</v>
      </c>
    </row>
    <row r="10" spans="1:26" s="1562" customFormat="1" ht="11.45" customHeight="1">
      <c r="A10" s="951"/>
      <c r="B10" s="448"/>
      <c r="D10" s="2073" t="s">
        <v>302</v>
      </c>
      <c r="E10" s="2078"/>
      <c r="F10" s="2078"/>
      <c r="G10" s="2078"/>
      <c r="H10" s="2078"/>
      <c r="I10" s="2078"/>
      <c r="J10" s="2072"/>
      <c r="K10" s="2009"/>
      <c r="L10" s="2009"/>
      <c r="M10" s="2155"/>
      <c r="N10" s="446"/>
      <c r="Z10" s="693">
        <v>11</v>
      </c>
    </row>
    <row r="11" spans="1:26" s="1562" customFormat="1" ht="24" customHeight="1">
      <c r="A11" s="2218"/>
      <c r="B11" s="2218"/>
      <c r="C11" s="594"/>
      <c r="D11" s="640" t="s">
        <v>87</v>
      </c>
      <c r="E11" s="642" t="s">
        <v>809</v>
      </c>
      <c r="F11" s="642" t="s">
        <v>568</v>
      </c>
      <c r="G11" s="402" t="s">
        <v>305</v>
      </c>
      <c r="H11" s="402" t="s">
        <v>392</v>
      </c>
      <c r="I11" s="738" t="s">
        <v>305</v>
      </c>
      <c r="J11" s="739" t="s">
        <v>392</v>
      </c>
      <c r="K11" s="2011" t="s">
        <v>305</v>
      </c>
      <c r="L11" s="2011" t="s">
        <v>392</v>
      </c>
      <c r="M11" s="2205"/>
      <c r="N11" s="595"/>
      <c r="Z11" s="446">
        <v>23</v>
      </c>
    </row>
    <row r="12" spans="1:26" s="1569" customFormat="1" ht="10.5" customHeight="1">
      <c r="A12" s="882"/>
      <c r="D12" s="955" t="s">
        <v>108</v>
      </c>
      <c r="E12" s="955" t="s">
        <v>109</v>
      </c>
      <c r="F12" s="955" t="s">
        <v>89</v>
      </c>
      <c r="G12" s="956" t="str">
        <f>G1&amp;".1"</f>
        <v>4.1</v>
      </c>
      <c r="H12" s="956" t="str">
        <f>G1&amp;".2"</f>
        <v>4.2</v>
      </c>
      <c r="I12" s="956" t="str">
        <f>I1&amp;".1"</f>
        <v>4.1</v>
      </c>
      <c r="J12" s="956" t="str">
        <f>I1&amp;".2"</f>
        <v>4.2</v>
      </c>
      <c r="K12" s="2014" t="str">
        <f>K1&amp;".1"</f>
        <v>4.1</v>
      </c>
      <c r="L12" s="2014" t="str">
        <f>K1&amp;".2"</f>
        <v>4.2</v>
      </c>
      <c r="M12" s="956"/>
      <c r="Z12" s="448">
        <v>10</v>
      </c>
    </row>
    <row r="13" spans="1:26" ht="22.5" hidden="1" customHeight="1">
      <c r="A13" s="2331" t="s">
        <v>810</v>
      </c>
      <c r="D13" s="883" t="s">
        <v>108</v>
      </c>
      <c r="E13" s="216" t="s">
        <v>811</v>
      </c>
      <c r="F13" s="597" t="s">
        <v>812</v>
      </c>
      <c r="G13" s="494"/>
      <c r="H13" s="598"/>
      <c r="I13" s="494"/>
      <c r="J13" s="598"/>
      <c r="K13" s="494"/>
      <c r="L13" s="599"/>
      <c r="M13" s="226" t="s">
        <v>813</v>
      </c>
      <c r="N13" s="657"/>
      <c r="Z13" s="442">
        <v>0</v>
      </c>
    </row>
    <row r="14" spans="1:26" ht="22.5" hidden="1" customHeight="1">
      <c r="A14" s="2331"/>
      <c r="D14" s="476" t="s">
        <v>109</v>
      </c>
      <c r="E14" s="216" t="s">
        <v>814</v>
      </c>
      <c r="F14" s="597" t="s">
        <v>815</v>
      </c>
      <c r="G14" s="494"/>
      <c r="H14" s="599"/>
      <c r="I14" s="494"/>
      <c r="J14" s="599"/>
      <c r="K14" s="494"/>
      <c r="L14" s="599"/>
      <c r="M14" s="226" t="s">
        <v>816</v>
      </c>
      <c r="N14" s="657"/>
      <c r="Z14" s="442">
        <v>0</v>
      </c>
    </row>
    <row r="15" spans="1:26" s="1562" customFormat="1" ht="78.75" hidden="1" customHeight="1">
      <c r="A15" s="2331"/>
      <c r="B15" s="448"/>
      <c r="D15" s="883" t="s">
        <v>89</v>
      </c>
      <c r="E15" s="644" t="s">
        <v>817</v>
      </c>
      <c r="F15" s="880" t="s">
        <v>308</v>
      </c>
      <c r="G15" s="880" t="s">
        <v>308</v>
      </c>
      <c r="H15" s="45"/>
      <c r="I15" s="880" t="s">
        <v>308</v>
      </c>
      <c r="J15" s="45"/>
      <c r="K15" s="2011" t="s">
        <v>308</v>
      </c>
      <c r="L15" s="2020"/>
      <c r="M15" s="226" t="s">
        <v>818</v>
      </c>
      <c r="N15" s="657"/>
      <c r="Z15" s="693">
        <v>0</v>
      </c>
    </row>
    <row r="16" spans="1:26" s="1562" customFormat="1" ht="22.5" hidden="1" customHeight="1">
      <c r="A16" s="2331"/>
      <c r="B16" s="448"/>
      <c r="D16" s="883" t="s">
        <v>326</v>
      </c>
      <c r="E16" s="884" t="s">
        <v>819</v>
      </c>
      <c r="F16" s="880" t="s">
        <v>820</v>
      </c>
      <c r="G16" s="748"/>
      <c r="H16" s="45"/>
      <c r="I16" s="748"/>
      <c r="J16" s="45"/>
      <c r="K16" s="748"/>
      <c r="L16" s="2020"/>
      <c r="M16" s="226"/>
      <c r="N16" s="657"/>
      <c r="Z16" s="693">
        <v>0</v>
      </c>
    </row>
    <row r="17" spans="1:26" s="1562" customFormat="1" ht="22.5" hidden="1" customHeight="1">
      <c r="A17" s="2331"/>
      <c r="B17" s="448"/>
      <c r="D17" s="883" t="s">
        <v>334</v>
      </c>
      <c r="E17" s="884" t="s">
        <v>821</v>
      </c>
      <c r="F17" s="880" t="s">
        <v>822</v>
      </c>
      <c r="G17" s="748"/>
      <c r="H17" s="45"/>
      <c r="I17" s="748"/>
      <c r="J17" s="45"/>
      <c r="K17" s="748"/>
      <c r="L17" s="2020"/>
      <c r="M17" s="226"/>
      <c r="N17" s="657"/>
      <c r="Z17" s="693">
        <v>0</v>
      </c>
    </row>
    <row r="18" spans="1:26" s="1562" customFormat="1" ht="33.75" hidden="1" customHeight="1">
      <c r="A18" s="2331"/>
      <c r="B18" s="448"/>
      <c r="D18" s="883" t="s">
        <v>336</v>
      </c>
      <c r="E18" s="884" t="s">
        <v>823</v>
      </c>
      <c r="F18" s="880" t="s">
        <v>573</v>
      </c>
      <c r="G18" s="617"/>
      <c r="H18" s="45"/>
      <c r="I18" s="617"/>
      <c r="J18" s="45"/>
      <c r="K18" s="617"/>
      <c r="L18" s="2020"/>
      <c r="M18" s="226"/>
      <c r="N18" s="657"/>
      <c r="Z18" s="693">
        <v>0</v>
      </c>
    </row>
    <row r="19" spans="1:26" ht="101.25" hidden="1" customHeight="1">
      <c r="A19" s="2331"/>
      <c r="D19" s="883" t="s">
        <v>90</v>
      </c>
      <c r="E19" s="216" t="s">
        <v>824</v>
      </c>
      <c r="F19" s="597" t="s">
        <v>548</v>
      </c>
      <c r="G19" s="600"/>
      <c r="H19" s="599"/>
      <c r="I19" s="885"/>
      <c r="J19" s="599"/>
      <c r="K19" s="2021"/>
      <c r="L19" s="599"/>
      <c r="M19" s="226" t="s">
        <v>825</v>
      </c>
      <c r="N19" s="657"/>
      <c r="Z19" s="442">
        <v>0</v>
      </c>
    </row>
    <row r="20" spans="1:26" s="1562" customFormat="1" ht="18.75" hidden="1" customHeight="1">
      <c r="A20" s="2331"/>
      <c r="C20" s="886"/>
      <c r="D20" s="883" t="s">
        <v>756</v>
      </c>
      <c r="E20" s="884" t="s">
        <v>826</v>
      </c>
      <c r="F20" s="880" t="s">
        <v>308</v>
      </c>
      <c r="G20" s="880" t="s">
        <v>308</v>
      </c>
      <c r="H20" s="879" t="s">
        <v>308</v>
      </c>
      <c r="I20" s="880" t="s">
        <v>308</v>
      </c>
      <c r="J20" s="879" t="s">
        <v>308</v>
      </c>
      <c r="K20" s="2011" t="s">
        <v>308</v>
      </c>
      <c r="L20" s="2006" t="s">
        <v>308</v>
      </c>
      <c r="M20" s="878"/>
      <c r="N20" s="657"/>
      <c r="Y20" s="612"/>
      <c r="Z20" s="693">
        <v>0</v>
      </c>
    </row>
    <row r="21" spans="1:26" s="1562" customFormat="1" ht="33.75" hidden="1" customHeight="1">
      <c r="A21" s="2331"/>
      <c r="C21" s="886"/>
      <c r="D21" s="883" t="s">
        <v>759</v>
      </c>
      <c r="E21" s="513" t="s">
        <v>827</v>
      </c>
      <c r="F21" s="880" t="s">
        <v>828</v>
      </c>
      <c r="G21" s="617"/>
      <c r="H21" s="45"/>
      <c r="I21" s="617"/>
      <c r="J21" s="45"/>
      <c r="K21" s="617"/>
      <c r="L21" s="2020"/>
      <c r="M21" s="878"/>
      <c r="N21" s="657"/>
      <c r="Y21" s="612"/>
      <c r="Z21" s="693">
        <v>0</v>
      </c>
    </row>
    <row r="22" spans="1:26" s="1562" customFormat="1" ht="33.75" hidden="1" customHeight="1">
      <c r="A22" s="2331"/>
      <c r="C22" s="886"/>
      <c r="D22" s="883" t="s">
        <v>762</v>
      </c>
      <c r="E22" s="513" t="s">
        <v>829</v>
      </c>
      <c r="F22" s="880" t="s">
        <v>830</v>
      </c>
      <c r="G22" s="617"/>
      <c r="H22" s="45"/>
      <c r="I22" s="617"/>
      <c r="J22" s="45"/>
      <c r="K22" s="617"/>
      <c r="L22" s="2020"/>
      <c r="M22" s="878"/>
      <c r="N22" s="657"/>
      <c r="Y22" s="612"/>
      <c r="Z22" s="693">
        <v>0</v>
      </c>
    </row>
    <row r="23" spans="1:26" s="1562" customFormat="1" ht="22.5" hidden="1" customHeight="1">
      <c r="A23" s="2331"/>
      <c r="C23" s="886"/>
      <c r="D23" s="883" t="s">
        <v>798</v>
      </c>
      <c r="E23" s="884" t="s">
        <v>831</v>
      </c>
      <c r="F23" s="880" t="s">
        <v>308</v>
      </c>
      <c r="G23" s="880" t="s">
        <v>308</v>
      </c>
      <c r="H23" s="879" t="s">
        <v>308</v>
      </c>
      <c r="I23" s="880" t="s">
        <v>308</v>
      </c>
      <c r="J23" s="879" t="s">
        <v>308</v>
      </c>
      <c r="K23" s="2011" t="s">
        <v>308</v>
      </c>
      <c r="L23" s="2006" t="s">
        <v>308</v>
      </c>
      <c r="M23" s="878"/>
      <c r="N23" s="657"/>
      <c r="Y23" s="612"/>
      <c r="Z23" s="693">
        <v>0</v>
      </c>
    </row>
    <row r="24" spans="1:26" s="1562" customFormat="1" ht="22.5" hidden="1" customHeight="1">
      <c r="A24" s="2331"/>
      <c r="C24" s="886"/>
      <c r="D24" s="883" t="s">
        <v>832</v>
      </c>
      <c r="E24" s="513" t="s">
        <v>833</v>
      </c>
      <c r="F24" s="880" t="s">
        <v>834</v>
      </c>
      <c r="G24" s="617"/>
      <c r="H24" s="623"/>
      <c r="I24" s="617"/>
      <c r="J24" s="623"/>
      <c r="K24" s="617"/>
      <c r="L24" s="2012"/>
      <c r="M24" s="878"/>
      <c r="N24" s="657"/>
      <c r="Y24" s="612"/>
      <c r="Z24" s="693">
        <v>0</v>
      </c>
    </row>
    <row r="25" spans="1:26" s="1562" customFormat="1" ht="22.5" hidden="1" customHeight="1">
      <c r="A25" s="2331"/>
      <c r="C25" s="886"/>
      <c r="D25" s="883" t="s">
        <v>835</v>
      </c>
      <c r="E25" s="513" t="s">
        <v>836</v>
      </c>
      <c r="F25" s="880" t="s">
        <v>308</v>
      </c>
      <c r="G25" s="880" t="s">
        <v>308</v>
      </c>
      <c r="H25" s="879" t="s">
        <v>308</v>
      </c>
      <c r="I25" s="880" t="s">
        <v>308</v>
      </c>
      <c r="J25" s="879" t="s">
        <v>308</v>
      </c>
      <c r="K25" s="2011" t="s">
        <v>308</v>
      </c>
      <c r="L25" s="2006" t="s">
        <v>308</v>
      </c>
      <c r="M25" s="878"/>
      <c r="N25" s="657"/>
      <c r="Y25" s="612"/>
      <c r="Z25" s="693">
        <v>0</v>
      </c>
    </row>
    <row r="26" spans="1:26" s="1562" customFormat="1" ht="18.75" hidden="1" customHeight="1">
      <c r="A26" s="2331"/>
      <c r="C26" s="886"/>
      <c r="D26" s="883" t="s">
        <v>837</v>
      </c>
      <c r="E26" s="490" t="s">
        <v>838</v>
      </c>
      <c r="F26" s="880" t="s">
        <v>839</v>
      </c>
      <c r="G26" s="617"/>
      <c r="H26" s="623"/>
      <c r="I26" s="617"/>
      <c r="J26" s="623"/>
      <c r="K26" s="617"/>
      <c r="L26" s="2012"/>
      <c r="M26" s="878"/>
      <c r="N26" s="657"/>
      <c r="Y26" s="612"/>
      <c r="Z26" s="693">
        <v>0</v>
      </c>
    </row>
    <row r="27" spans="1:26" s="1562" customFormat="1" ht="18.75" hidden="1" customHeight="1">
      <c r="A27" s="2331"/>
      <c r="C27" s="886"/>
      <c r="D27" s="883" t="s">
        <v>840</v>
      </c>
      <c r="E27" s="490" t="s">
        <v>841</v>
      </c>
      <c r="F27" s="880" t="s">
        <v>842</v>
      </c>
      <c r="G27" s="617"/>
      <c r="H27" s="623"/>
      <c r="I27" s="617"/>
      <c r="J27" s="623"/>
      <c r="K27" s="617"/>
      <c r="L27" s="2012"/>
      <c r="M27" s="878"/>
      <c r="N27" s="657"/>
      <c r="Y27" s="612"/>
      <c r="Z27" s="693">
        <v>0</v>
      </c>
    </row>
    <row r="28" spans="1:26" s="1562" customFormat="1" ht="18.75" hidden="1" customHeight="1">
      <c r="A28" s="2331"/>
      <c r="C28" s="886"/>
      <c r="D28" s="883" t="s">
        <v>843</v>
      </c>
      <c r="E28" s="513" t="s">
        <v>844</v>
      </c>
      <c r="F28" s="880" t="s">
        <v>308</v>
      </c>
      <c r="G28" s="880" t="s">
        <v>308</v>
      </c>
      <c r="H28" s="879" t="s">
        <v>308</v>
      </c>
      <c r="I28" s="880" t="s">
        <v>308</v>
      </c>
      <c r="J28" s="879" t="s">
        <v>308</v>
      </c>
      <c r="K28" s="2011" t="s">
        <v>308</v>
      </c>
      <c r="L28" s="2006" t="s">
        <v>308</v>
      </c>
      <c r="M28" s="878"/>
      <c r="N28" s="657"/>
      <c r="Y28" s="612"/>
      <c r="Z28" s="693">
        <v>0</v>
      </c>
    </row>
    <row r="29" spans="1:26" s="1562" customFormat="1" ht="18.75" hidden="1" customHeight="1">
      <c r="A29" s="2331"/>
      <c r="C29" s="886"/>
      <c r="D29" s="883" t="s">
        <v>845</v>
      </c>
      <c r="E29" s="490" t="s">
        <v>838</v>
      </c>
      <c r="F29" s="880" t="s">
        <v>846</v>
      </c>
      <c r="G29" s="617"/>
      <c r="H29" s="623"/>
      <c r="I29" s="617"/>
      <c r="J29" s="623"/>
      <c r="K29" s="617"/>
      <c r="L29" s="2012"/>
      <c r="M29" s="878"/>
      <c r="N29" s="657"/>
      <c r="Y29" s="612"/>
      <c r="Z29" s="693">
        <v>0</v>
      </c>
    </row>
    <row r="30" spans="1:26" s="1562" customFormat="1" ht="18.75" hidden="1" customHeight="1">
      <c r="A30" s="2331"/>
      <c r="C30" s="886"/>
      <c r="D30" s="883" t="s">
        <v>847</v>
      </c>
      <c r="E30" s="490" t="s">
        <v>848</v>
      </c>
      <c r="F30" s="880" t="s">
        <v>849</v>
      </c>
      <c r="G30" s="617"/>
      <c r="H30" s="623"/>
      <c r="I30" s="617"/>
      <c r="J30" s="623"/>
      <c r="K30" s="617"/>
      <c r="L30" s="2012"/>
      <c r="M30" s="878"/>
      <c r="N30" s="657"/>
      <c r="Y30" s="612"/>
      <c r="Z30" s="693">
        <v>0</v>
      </c>
    </row>
    <row r="31" spans="1:26" ht="126.75" hidden="1" customHeight="1">
      <c r="A31" s="2331"/>
      <c r="D31" s="883" t="s">
        <v>110</v>
      </c>
      <c r="E31" s="216" t="s">
        <v>850</v>
      </c>
      <c r="F31" s="597" t="s">
        <v>560</v>
      </c>
      <c r="G31" s="494"/>
      <c r="H31" s="599"/>
      <c r="I31" s="494"/>
      <c r="J31" s="599"/>
      <c r="K31" s="494"/>
      <c r="L31" s="599"/>
      <c r="M31" s="226" t="s">
        <v>851</v>
      </c>
      <c r="N31" s="657"/>
      <c r="Z31" s="442">
        <v>0</v>
      </c>
    </row>
    <row r="32" spans="1:26" ht="56.25" hidden="1" customHeight="1">
      <c r="A32" s="2331"/>
      <c r="D32" s="883" t="s">
        <v>91</v>
      </c>
      <c r="E32" s="216" t="s">
        <v>852</v>
      </c>
      <c r="F32" s="476" t="s">
        <v>822</v>
      </c>
      <c r="G32" s="494"/>
      <c r="H32" s="599"/>
      <c r="I32" s="494"/>
      <c r="J32" s="599"/>
      <c r="K32" s="494"/>
      <c r="L32" s="599"/>
      <c r="M32" s="226" t="s">
        <v>853</v>
      </c>
      <c r="N32" s="657"/>
      <c r="Z32" s="442">
        <v>0</v>
      </c>
    </row>
    <row r="33" spans="1:26" ht="11.25" hidden="1" customHeight="1">
      <c r="A33" s="2331"/>
      <c r="E33" s="601"/>
      <c r="F33" s="118"/>
      <c r="G33" s="118"/>
      <c r="H33" s="118"/>
      <c r="I33" s="118"/>
      <c r="J33" s="118"/>
      <c r="K33" s="994"/>
      <c r="L33" s="994"/>
      <c r="M33" s="118"/>
      <c r="Z33" s="442">
        <v>0</v>
      </c>
    </row>
    <row r="34" spans="1:26" ht="12.75" hidden="1" customHeight="1">
      <c r="A34" s="2331"/>
      <c r="D34" s="4">
        <v>1</v>
      </c>
      <c r="E34" s="272" t="s">
        <v>854</v>
      </c>
      <c r="Z34" s="442">
        <v>0</v>
      </c>
    </row>
    <row r="35" spans="1:26" ht="11.25" hidden="1" customHeight="1">
      <c r="A35" s="2331"/>
      <c r="D35" s="306"/>
      <c r="E35" s="272" t="s">
        <v>855</v>
      </c>
      <c r="Z35" s="442">
        <v>0</v>
      </c>
    </row>
    <row r="36" spans="1:26" s="1562" customFormat="1" ht="11.45" customHeight="1">
      <c r="A36" s="963"/>
      <c r="B36" s="455"/>
      <c r="D36" s="964"/>
      <c r="E36" s="965"/>
      <c r="Z36" s="446">
        <v>11</v>
      </c>
    </row>
    <row r="37" spans="1:26" s="1562" customFormat="1" ht="22.5" customHeight="1">
      <c r="A37" s="2331" t="s">
        <v>856</v>
      </c>
      <c r="B37" s="448"/>
      <c r="D37" s="883">
        <v>1</v>
      </c>
      <c r="E37" s="644" t="s">
        <v>857</v>
      </c>
      <c r="F37" s="597" t="s">
        <v>812</v>
      </c>
      <c r="G37" s="494"/>
      <c r="H37" s="456"/>
      <c r="I37" s="494"/>
      <c r="J37" s="456"/>
      <c r="K37" s="494"/>
      <c r="L37" s="456"/>
      <c r="M37" s="226" t="s">
        <v>858</v>
      </c>
      <c r="Z37" s="693">
        <v>0</v>
      </c>
    </row>
    <row r="38" spans="1:26" s="1562" customFormat="1" ht="22.5" customHeight="1">
      <c r="A38" s="2331"/>
      <c r="B38" s="448"/>
      <c r="D38" s="606" t="s">
        <v>109</v>
      </c>
      <c r="E38" s="962" t="s">
        <v>859</v>
      </c>
      <c r="F38" s="966" t="s">
        <v>548</v>
      </c>
      <c r="G38" s="966" t="s">
        <v>548</v>
      </c>
      <c r="H38" s="960"/>
      <c r="I38" s="966" t="s">
        <v>548</v>
      </c>
      <c r="J38" s="960"/>
      <c r="K38" s="966" t="s">
        <v>548</v>
      </c>
      <c r="L38" s="960"/>
      <c r="M38" s="961"/>
      <c r="Z38" s="693">
        <v>0</v>
      </c>
    </row>
    <row r="39" spans="1:26" s="1562" customFormat="1" ht="33.75" customHeight="1">
      <c r="A39" s="2331"/>
      <c r="B39" s="448"/>
      <c r="D39" s="602" t="s">
        <v>714</v>
      </c>
      <c r="E39" s="660" t="s">
        <v>860</v>
      </c>
      <c r="F39" s="597" t="s">
        <v>861</v>
      </c>
      <c r="G39" s="605"/>
      <c r="H39" s="953"/>
      <c r="I39" s="605"/>
      <c r="J39" s="953"/>
      <c r="K39" s="1096"/>
      <c r="L39" s="953"/>
      <c r="M39" s="226" t="s">
        <v>862</v>
      </c>
      <c r="Z39" s="693">
        <v>0</v>
      </c>
    </row>
    <row r="40" spans="1:26" s="1562" customFormat="1" ht="33.75" customHeight="1">
      <c r="A40" s="2331"/>
      <c r="B40" s="448"/>
      <c r="D40" s="602" t="s">
        <v>717</v>
      </c>
      <c r="E40" s="660" t="s">
        <v>863</v>
      </c>
      <c r="F40" s="957" t="s">
        <v>864</v>
      </c>
      <c r="G40" s="678"/>
      <c r="H40" s="953"/>
      <c r="I40" s="678"/>
      <c r="J40" s="953"/>
      <c r="K40" s="678"/>
      <c r="L40" s="953"/>
      <c r="M40" s="226" t="s">
        <v>865</v>
      </c>
      <c r="Z40" s="693">
        <v>0</v>
      </c>
    </row>
    <row r="41" spans="1:26" s="1562" customFormat="1" ht="22.5" customHeight="1">
      <c r="A41" s="2331"/>
      <c r="B41" s="448"/>
      <c r="D41" s="602" t="s">
        <v>89</v>
      </c>
      <c r="E41" s="659" t="s">
        <v>866</v>
      </c>
      <c r="F41" s="597" t="s">
        <v>548</v>
      </c>
      <c r="G41" s="597" t="s">
        <v>548</v>
      </c>
      <c r="H41" s="954"/>
      <c r="I41" s="597" t="s">
        <v>548</v>
      </c>
      <c r="J41" s="954"/>
      <c r="K41" s="2000" t="s">
        <v>548</v>
      </c>
      <c r="L41" s="954"/>
      <c r="M41" s="239"/>
      <c r="Z41" s="693">
        <v>0</v>
      </c>
    </row>
    <row r="42" spans="1:26" s="1562" customFormat="1" ht="45" customHeight="1">
      <c r="A42" s="2331"/>
      <c r="B42" s="448"/>
      <c r="D42" s="602" t="s">
        <v>326</v>
      </c>
      <c r="E42" s="660" t="s">
        <v>867</v>
      </c>
      <c r="F42" s="597" t="s">
        <v>560</v>
      </c>
      <c r="G42" s="494"/>
      <c r="H42" s="954"/>
      <c r="I42" s="494"/>
      <c r="J42" s="954"/>
      <c r="K42" s="494"/>
      <c r="L42" s="954"/>
      <c r="M42" s="239" t="s">
        <v>868</v>
      </c>
      <c r="Z42" s="693">
        <v>0</v>
      </c>
    </row>
    <row r="43" spans="1:26" s="1562" customFormat="1" ht="45" customHeight="1">
      <c r="A43" s="2331"/>
      <c r="B43" s="448"/>
      <c r="D43" s="602" t="s">
        <v>334</v>
      </c>
      <c r="E43" s="604" t="s">
        <v>869</v>
      </c>
      <c r="F43" s="958" t="s">
        <v>560</v>
      </c>
      <c r="G43" s="679"/>
      <c r="H43" s="953"/>
      <c r="I43" s="679"/>
      <c r="J43" s="953"/>
      <c r="K43" s="679"/>
      <c r="L43" s="953"/>
      <c r="M43" s="239" t="s">
        <v>870</v>
      </c>
      <c r="Z43" s="693">
        <v>0</v>
      </c>
    </row>
    <row r="44" spans="1:26" s="1562" customFormat="1" ht="11.25" customHeight="1">
      <c r="A44" s="2331"/>
      <c r="B44" s="448"/>
      <c r="D44" s="602" t="s">
        <v>90</v>
      </c>
      <c r="E44" s="603" t="s">
        <v>871</v>
      </c>
      <c r="F44" s="597" t="s">
        <v>861</v>
      </c>
      <c r="G44" s="605"/>
      <c r="H44" s="953"/>
      <c r="I44" s="605"/>
      <c r="J44" s="953"/>
      <c r="K44" s="1096"/>
      <c r="L44" s="953"/>
      <c r="M44" s="226"/>
      <c r="Z44" s="693">
        <v>0</v>
      </c>
    </row>
    <row r="45" spans="1:26" s="1562" customFormat="1" ht="11.25" customHeight="1">
      <c r="A45" s="2331"/>
      <c r="B45" s="448"/>
      <c r="D45" s="602" t="s">
        <v>756</v>
      </c>
      <c r="E45" s="604" t="s">
        <v>872</v>
      </c>
      <c r="F45" s="597" t="s">
        <v>861</v>
      </c>
      <c r="G45" s="605"/>
      <c r="H45" s="953"/>
      <c r="I45" s="605"/>
      <c r="J45" s="953"/>
      <c r="K45" s="1096"/>
      <c r="L45" s="953"/>
      <c r="M45" s="226"/>
      <c r="Z45" s="693">
        <v>0</v>
      </c>
    </row>
    <row r="46" spans="1:26" s="1562" customFormat="1" ht="11.25" customHeight="1">
      <c r="A46" s="2331"/>
      <c r="B46" s="448"/>
      <c r="D46" s="602" t="s">
        <v>798</v>
      </c>
      <c r="E46" s="604" t="s">
        <v>873</v>
      </c>
      <c r="F46" s="597" t="s">
        <v>861</v>
      </c>
      <c r="G46" s="605"/>
      <c r="H46" s="953"/>
      <c r="I46" s="605"/>
      <c r="J46" s="953"/>
      <c r="K46" s="1096"/>
      <c r="L46" s="953"/>
      <c r="M46" s="226"/>
      <c r="Z46" s="693">
        <v>0</v>
      </c>
    </row>
    <row r="47" spans="1:26" s="1562" customFormat="1" ht="11.25" customHeight="1">
      <c r="A47" s="2331"/>
      <c r="B47" s="448"/>
      <c r="D47" s="602" t="s">
        <v>801</v>
      </c>
      <c r="E47" s="604" t="s">
        <v>874</v>
      </c>
      <c r="F47" s="597" t="s">
        <v>861</v>
      </c>
      <c r="G47" s="605"/>
      <c r="H47" s="953"/>
      <c r="I47" s="605"/>
      <c r="J47" s="953"/>
      <c r="K47" s="1096"/>
      <c r="L47" s="953"/>
      <c r="M47" s="226"/>
      <c r="Z47" s="693">
        <v>0</v>
      </c>
    </row>
    <row r="48" spans="1:26" s="1562" customFormat="1" ht="11.25" customHeight="1">
      <c r="A48" s="2331"/>
      <c r="B48" s="448"/>
      <c r="D48" s="602" t="s">
        <v>875</v>
      </c>
      <c r="E48" s="608" t="s">
        <v>876</v>
      </c>
      <c r="F48" s="597" t="s">
        <v>861</v>
      </c>
      <c r="G48" s="605"/>
      <c r="H48" s="953"/>
      <c r="I48" s="605"/>
      <c r="J48" s="953"/>
      <c r="K48" s="1096"/>
      <c r="L48" s="953"/>
      <c r="M48" s="226"/>
      <c r="Z48" s="693">
        <v>0</v>
      </c>
    </row>
    <row r="49" spans="1:26" s="1562" customFormat="1" ht="11.25" customHeight="1">
      <c r="A49" s="2331"/>
      <c r="B49" s="448"/>
      <c r="D49" s="602" t="s">
        <v>877</v>
      </c>
      <c r="E49" s="608" t="s">
        <v>878</v>
      </c>
      <c r="F49" s="597" t="s">
        <v>861</v>
      </c>
      <c r="G49" s="605"/>
      <c r="H49" s="953"/>
      <c r="I49" s="605"/>
      <c r="J49" s="953"/>
      <c r="K49" s="1096"/>
      <c r="L49" s="953"/>
      <c r="M49" s="226"/>
      <c r="Z49" s="693">
        <v>0</v>
      </c>
    </row>
    <row r="50" spans="1:26" s="1562" customFormat="1" ht="11.25" customHeight="1">
      <c r="A50" s="2331"/>
      <c r="B50" s="448"/>
      <c r="D50" s="602" t="s">
        <v>879</v>
      </c>
      <c r="E50" s="604" t="s">
        <v>880</v>
      </c>
      <c r="F50" s="597" t="s">
        <v>861</v>
      </c>
      <c r="G50" s="605"/>
      <c r="H50" s="953"/>
      <c r="I50" s="605"/>
      <c r="J50" s="953"/>
      <c r="K50" s="1096"/>
      <c r="L50" s="953"/>
      <c r="M50" s="226"/>
      <c r="Z50" s="693">
        <v>0</v>
      </c>
    </row>
    <row r="51" spans="1:26" s="1562" customFormat="1" ht="11.25" customHeight="1">
      <c r="A51" s="2331"/>
      <c r="B51" s="448"/>
      <c r="D51" s="602" t="s">
        <v>881</v>
      </c>
      <c r="E51" s="604" t="s">
        <v>882</v>
      </c>
      <c r="F51" s="597" t="s">
        <v>861</v>
      </c>
      <c r="G51" s="605"/>
      <c r="H51" s="953"/>
      <c r="I51" s="605"/>
      <c r="J51" s="953"/>
      <c r="K51" s="1096"/>
      <c r="L51" s="953"/>
      <c r="M51" s="226"/>
      <c r="Z51" s="693">
        <v>0</v>
      </c>
    </row>
    <row r="52" spans="1:26" s="1562" customFormat="1" ht="45" customHeight="1">
      <c r="A52" s="2331"/>
      <c r="B52" s="448"/>
      <c r="D52" s="602" t="s">
        <v>110</v>
      </c>
      <c r="E52" s="603" t="s">
        <v>883</v>
      </c>
      <c r="F52" s="597" t="s">
        <v>861</v>
      </c>
      <c r="G52" s="605"/>
      <c r="H52" s="953"/>
      <c r="I52" s="605"/>
      <c r="J52" s="953"/>
      <c r="K52" s="1096"/>
      <c r="L52" s="953"/>
      <c r="M52" s="226"/>
      <c r="Z52" s="693">
        <v>0</v>
      </c>
    </row>
    <row r="53" spans="1:26" s="1562" customFormat="1" ht="11.25" customHeight="1">
      <c r="A53" s="2331"/>
      <c r="B53" s="448"/>
      <c r="D53" s="602" t="s">
        <v>315</v>
      </c>
      <c r="E53" s="604" t="s">
        <v>872</v>
      </c>
      <c r="F53" s="597" t="s">
        <v>861</v>
      </c>
      <c r="G53" s="605"/>
      <c r="H53" s="953"/>
      <c r="I53" s="605"/>
      <c r="J53" s="953"/>
      <c r="K53" s="1096"/>
      <c r="L53" s="953"/>
      <c r="M53" s="226"/>
      <c r="Z53" s="693">
        <v>0</v>
      </c>
    </row>
    <row r="54" spans="1:26" s="1562" customFormat="1" ht="11.25" customHeight="1">
      <c r="A54" s="2331"/>
      <c r="B54" s="448"/>
      <c r="D54" s="602" t="s">
        <v>884</v>
      </c>
      <c r="E54" s="604" t="s">
        <v>873</v>
      </c>
      <c r="F54" s="597" t="s">
        <v>861</v>
      </c>
      <c r="G54" s="605"/>
      <c r="H54" s="953"/>
      <c r="I54" s="605"/>
      <c r="J54" s="953"/>
      <c r="K54" s="1096"/>
      <c r="L54" s="953"/>
      <c r="M54" s="226"/>
      <c r="Z54" s="693">
        <v>0</v>
      </c>
    </row>
    <row r="55" spans="1:26" s="1562" customFormat="1" ht="11.25" customHeight="1">
      <c r="A55" s="2331"/>
      <c r="B55" s="448"/>
      <c r="D55" s="602" t="s">
        <v>885</v>
      </c>
      <c r="E55" s="604" t="s">
        <v>874</v>
      </c>
      <c r="F55" s="597" t="s">
        <v>861</v>
      </c>
      <c r="G55" s="605"/>
      <c r="H55" s="953"/>
      <c r="I55" s="605"/>
      <c r="J55" s="953"/>
      <c r="K55" s="1096"/>
      <c r="L55" s="953"/>
      <c r="M55" s="226"/>
      <c r="Z55" s="693">
        <v>0</v>
      </c>
    </row>
    <row r="56" spans="1:26" s="1562" customFormat="1" ht="11.25" customHeight="1">
      <c r="A56" s="2331"/>
      <c r="B56" s="448"/>
      <c r="D56" s="602" t="s">
        <v>886</v>
      </c>
      <c r="E56" s="608" t="s">
        <v>876</v>
      </c>
      <c r="F56" s="597" t="s">
        <v>861</v>
      </c>
      <c r="G56" s="605"/>
      <c r="H56" s="953"/>
      <c r="I56" s="605"/>
      <c r="J56" s="953"/>
      <c r="K56" s="1096"/>
      <c r="L56" s="953"/>
      <c r="M56" s="226"/>
      <c r="Z56" s="693">
        <v>0</v>
      </c>
    </row>
    <row r="57" spans="1:26" s="1562" customFormat="1" ht="11.25" customHeight="1">
      <c r="A57" s="2331"/>
      <c r="B57" s="448"/>
      <c r="D57" s="602" t="s">
        <v>887</v>
      </c>
      <c r="E57" s="608" t="s">
        <v>878</v>
      </c>
      <c r="F57" s="597" t="s">
        <v>861</v>
      </c>
      <c r="G57" s="605"/>
      <c r="H57" s="953"/>
      <c r="I57" s="605"/>
      <c r="J57" s="953"/>
      <c r="K57" s="1096"/>
      <c r="L57" s="953"/>
      <c r="M57" s="226"/>
      <c r="Z57" s="693">
        <v>0</v>
      </c>
    </row>
    <row r="58" spans="1:26" s="1562" customFormat="1" ht="11.25" customHeight="1">
      <c r="A58" s="2331"/>
      <c r="B58" s="448"/>
      <c r="D58" s="602" t="s">
        <v>888</v>
      </c>
      <c r="E58" s="604" t="s">
        <v>880</v>
      </c>
      <c r="F58" s="597" t="s">
        <v>861</v>
      </c>
      <c r="G58" s="605"/>
      <c r="H58" s="953"/>
      <c r="I58" s="605"/>
      <c r="J58" s="953"/>
      <c r="K58" s="1096"/>
      <c r="L58" s="953"/>
      <c r="M58" s="226"/>
      <c r="Z58" s="693">
        <v>0</v>
      </c>
    </row>
    <row r="59" spans="1:26" s="1562" customFormat="1" ht="11.25" customHeight="1">
      <c r="A59" s="2331"/>
      <c r="B59" s="448"/>
      <c r="D59" s="602" t="s">
        <v>889</v>
      </c>
      <c r="E59" s="604" t="s">
        <v>882</v>
      </c>
      <c r="F59" s="597" t="s">
        <v>861</v>
      </c>
      <c r="G59" s="605"/>
      <c r="H59" s="953"/>
      <c r="I59" s="605"/>
      <c r="J59" s="953"/>
      <c r="K59" s="1096"/>
      <c r="L59" s="953"/>
      <c r="M59" s="226"/>
      <c r="Z59" s="693">
        <v>0</v>
      </c>
    </row>
    <row r="60" spans="1:26" s="1562" customFormat="1" ht="33.75" customHeight="1">
      <c r="A60" s="2331"/>
      <c r="B60" s="448"/>
      <c r="D60" s="602" t="s">
        <v>91</v>
      </c>
      <c r="E60" s="603" t="s">
        <v>890</v>
      </c>
      <c r="F60" s="658" t="s">
        <v>560</v>
      </c>
      <c r="G60" s="679"/>
      <c r="H60" s="953"/>
      <c r="I60" s="679"/>
      <c r="J60" s="953"/>
      <c r="K60" s="679"/>
      <c r="L60" s="953"/>
      <c r="M60" s="239" t="s">
        <v>891</v>
      </c>
      <c r="Z60" s="693">
        <v>0</v>
      </c>
    </row>
    <row r="61" spans="1:26" s="1562" customFormat="1" ht="33.75" customHeight="1">
      <c r="A61" s="2331"/>
      <c r="B61" s="448"/>
      <c r="D61" s="602" t="s">
        <v>92</v>
      </c>
      <c r="E61" s="603" t="s">
        <v>892</v>
      </c>
      <c r="F61" s="663" t="s">
        <v>822</v>
      </c>
      <c r="G61" s="605"/>
      <c r="H61" s="953"/>
      <c r="I61" s="605"/>
      <c r="J61" s="953"/>
      <c r="K61" s="1096"/>
      <c r="L61" s="953"/>
      <c r="M61" s="226"/>
      <c r="Z61" s="693">
        <v>0</v>
      </c>
    </row>
    <row r="62" spans="1:26" s="1562" customFormat="1" ht="22.5" customHeight="1">
      <c r="A62" s="2331"/>
      <c r="B62" s="448" t="s">
        <v>590</v>
      </c>
      <c r="D62" s="602" t="s">
        <v>111</v>
      </c>
      <c r="E62" s="603" t="s">
        <v>893</v>
      </c>
      <c r="F62" s="663" t="s">
        <v>308</v>
      </c>
      <c r="G62" s="319"/>
      <c r="H62" s="953"/>
      <c r="I62" s="319"/>
      <c r="J62" s="953"/>
      <c r="K62" s="1091"/>
      <c r="L62" s="953"/>
      <c r="M62" s="226" t="s">
        <v>634</v>
      </c>
      <c r="Z62" s="693">
        <v>0</v>
      </c>
    </row>
    <row r="63" spans="1:26" s="1562" customFormat="1" ht="45" customHeight="1">
      <c r="A63" s="2331"/>
      <c r="B63" s="448" t="s">
        <v>590</v>
      </c>
      <c r="D63" s="602" t="s">
        <v>894</v>
      </c>
      <c r="E63" s="604" t="s">
        <v>895</v>
      </c>
      <c r="F63" s="658" t="s">
        <v>308</v>
      </c>
      <c r="G63" s="319"/>
      <c r="H63" s="953"/>
      <c r="I63" s="319"/>
      <c r="J63" s="953"/>
      <c r="K63" s="1091"/>
      <c r="L63" s="953"/>
      <c r="M63" s="226" t="s">
        <v>634</v>
      </c>
      <c r="Z63" s="693">
        <v>0</v>
      </c>
    </row>
    <row r="64" spans="1:26" s="1562" customFormat="1" ht="11.45" customHeight="1">
      <c r="A64" s="963"/>
      <c r="B64" s="455"/>
      <c r="D64" s="964"/>
      <c r="E64" s="965"/>
      <c r="Z64" s="446">
        <v>11</v>
      </c>
    </row>
    <row r="65" spans="1:26" s="1562" customFormat="1" ht="22.5" hidden="1" customHeight="1">
      <c r="A65" s="2331" t="s">
        <v>896</v>
      </c>
      <c r="B65" s="448"/>
      <c r="D65" s="602">
        <v>1</v>
      </c>
      <c r="E65" s="681" t="s">
        <v>897</v>
      </c>
      <c r="F65" s="677" t="s">
        <v>812</v>
      </c>
      <c r="G65" s="678"/>
      <c r="H65" s="959"/>
      <c r="I65" s="678"/>
      <c r="J65" s="959"/>
      <c r="K65" s="678"/>
      <c r="L65" s="959"/>
      <c r="M65" s="238" t="s">
        <v>898</v>
      </c>
      <c r="Z65" s="693">
        <v>0</v>
      </c>
    </row>
    <row r="66" spans="1:26" s="1562" customFormat="1" ht="56.25" hidden="1" customHeight="1">
      <c r="A66" s="2331"/>
      <c r="B66" s="448"/>
      <c r="D66" s="680" t="s">
        <v>109</v>
      </c>
      <c r="E66" s="644" t="s">
        <v>899</v>
      </c>
      <c r="F66" s="597" t="s">
        <v>548</v>
      </c>
      <c r="G66" s="597" t="s">
        <v>548</v>
      </c>
      <c r="H66" s="456"/>
      <c r="I66" s="597" t="s">
        <v>548</v>
      </c>
      <c r="J66" s="456"/>
      <c r="K66" s="2000" t="s">
        <v>548</v>
      </c>
      <c r="L66" s="456"/>
      <c r="M66" s="226"/>
      <c r="Z66" s="693">
        <v>0</v>
      </c>
    </row>
    <row r="67" spans="1:26" s="1562" customFormat="1" ht="33.75" hidden="1" customHeight="1">
      <c r="A67" s="2331"/>
      <c r="B67" s="448"/>
      <c r="D67" s="680" t="s">
        <v>711</v>
      </c>
      <c r="E67" s="884" t="s">
        <v>900</v>
      </c>
      <c r="F67" s="597" t="s">
        <v>864</v>
      </c>
      <c r="G67" s="664"/>
      <c r="H67" s="456"/>
      <c r="I67" s="664"/>
      <c r="J67" s="456"/>
      <c r="K67" s="664"/>
      <c r="L67" s="456"/>
      <c r="M67" s="226"/>
      <c r="Z67" s="693">
        <v>0</v>
      </c>
    </row>
    <row r="68" spans="1:26" s="1562" customFormat="1" ht="22.5" hidden="1" customHeight="1">
      <c r="A68" s="2331"/>
      <c r="B68" s="448"/>
      <c r="D68" s="680" t="s">
        <v>309</v>
      </c>
      <c r="E68" s="884" t="s">
        <v>901</v>
      </c>
      <c r="F68" s="597" t="s">
        <v>864</v>
      </c>
      <c r="G68" s="664"/>
      <c r="H68" s="456"/>
      <c r="I68" s="664"/>
      <c r="J68" s="456"/>
      <c r="K68" s="664"/>
      <c r="L68" s="456"/>
      <c r="M68" s="226"/>
      <c r="Z68" s="693">
        <v>0</v>
      </c>
    </row>
    <row r="69" spans="1:26" s="1562" customFormat="1" ht="22.5" hidden="1" customHeight="1">
      <c r="A69" s="2331"/>
      <c r="B69" s="448"/>
      <c r="D69" s="680" t="s">
        <v>312</v>
      </c>
      <c r="E69" s="884" t="s">
        <v>902</v>
      </c>
      <c r="F69" s="658" t="s">
        <v>560</v>
      </c>
      <c r="G69" s="679"/>
      <c r="H69" s="456"/>
      <c r="I69" s="679"/>
      <c r="J69" s="456"/>
      <c r="K69" s="679"/>
      <c r="L69" s="456"/>
      <c r="M69" s="226"/>
      <c r="Z69" s="693">
        <v>0</v>
      </c>
    </row>
    <row r="70" spans="1:26" s="1562" customFormat="1" ht="22.5" hidden="1" customHeight="1">
      <c r="A70" s="2331"/>
      <c r="B70" s="448"/>
      <c r="D70" s="680" t="s">
        <v>731</v>
      </c>
      <c r="E70" s="884" t="s">
        <v>903</v>
      </c>
      <c r="F70" s="658" t="s">
        <v>560</v>
      </c>
      <c r="G70" s="679"/>
      <c r="H70" s="456"/>
      <c r="I70" s="679"/>
      <c r="J70" s="456"/>
      <c r="K70" s="679"/>
      <c r="L70" s="456"/>
      <c r="M70" s="226"/>
      <c r="Z70" s="693">
        <v>0</v>
      </c>
    </row>
    <row r="71" spans="1:26" s="1562" customFormat="1" ht="22.5" hidden="1" customHeight="1">
      <c r="A71" s="2331"/>
      <c r="B71" s="448"/>
      <c r="D71" s="602" t="s">
        <v>89</v>
      </c>
      <c r="E71" s="603" t="s">
        <v>904</v>
      </c>
      <c r="F71" s="597" t="s">
        <v>864</v>
      </c>
      <c r="G71" s="494"/>
      <c r="H71" s="960"/>
      <c r="I71" s="494"/>
      <c r="J71" s="960"/>
      <c r="K71" s="494"/>
      <c r="L71" s="960"/>
      <c r="M71" s="239"/>
      <c r="Z71" s="693">
        <v>0</v>
      </c>
    </row>
    <row r="72" spans="1:26" s="1562" customFormat="1" ht="56.25" hidden="1" customHeight="1">
      <c r="A72" s="2331"/>
      <c r="B72" s="448"/>
      <c r="D72" s="602" t="s">
        <v>90</v>
      </c>
      <c r="E72" s="603" t="s">
        <v>905</v>
      </c>
      <c r="F72" s="658" t="s">
        <v>560</v>
      </c>
      <c r="G72" s="679"/>
      <c r="H72" s="953"/>
      <c r="I72" s="679"/>
      <c r="J72" s="953"/>
      <c r="K72" s="679"/>
      <c r="L72" s="953"/>
      <c r="M72" s="239"/>
      <c r="Z72" s="693">
        <v>0</v>
      </c>
    </row>
    <row r="73" spans="1:26" s="1562" customFormat="1" ht="33.75" hidden="1" customHeight="1">
      <c r="A73" s="2331"/>
      <c r="B73" s="448"/>
      <c r="D73" s="602" t="s">
        <v>110</v>
      </c>
      <c r="E73" s="603" t="s">
        <v>906</v>
      </c>
      <c r="F73" s="663" t="s">
        <v>822</v>
      </c>
      <c r="G73" s="605"/>
      <c r="H73" s="953"/>
      <c r="I73" s="605"/>
      <c r="J73" s="953"/>
      <c r="K73" s="1096"/>
      <c r="L73" s="953"/>
      <c r="M73" s="226"/>
      <c r="Z73" s="693">
        <v>0</v>
      </c>
    </row>
    <row r="74" spans="1:26" s="1562" customFormat="1" ht="22.5" hidden="1" customHeight="1">
      <c r="A74" s="2331"/>
      <c r="B74" s="448" t="s">
        <v>590</v>
      </c>
      <c r="D74" s="602" t="s">
        <v>91</v>
      </c>
      <c r="E74" s="603" t="s">
        <v>907</v>
      </c>
      <c r="F74" s="663" t="s">
        <v>308</v>
      </c>
      <c r="G74" s="319"/>
      <c r="H74" s="953"/>
      <c r="I74" s="319"/>
      <c r="J74" s="953"/>
      <c r="K74" s="1091"/>
      <c r="L74" s="953"/>
      <c r="M74" s="226" t="s">
        <v>634</v>
      </c>
      <c r="Z74" s="693">
        <v>0</v>
      </c>
    </row>
    <row r="75" spans="1:26" s="1562" customFormat="1" ht="45" hidden="1" customHeight="1">
      <c r="A75" s="2331"/>
      <c r="B75" s="448" t="s">
        <v>590</v>
      </c>
      <c r="D75" s="602" t="s">
        <v>655</v>
      </c>
      <c r="E75" s="604" t="s">
        <v>908</v>
      </c>
      <c r="F75" s="658" t="s">
        <v>308</v>
      </c>
      <c r="G75" s="319"/>
      <c r="H75" s="953"/>
      <c r="I75" s="319"/>
      <c r="J75" s="953"/>
      <c r="K75" s="1091"/>
      <c r="L75" s="953"/>
      <c r="M75" s="226" t="s">
        <v>634</v>
      </c>
      <c r="Z75" s="693">
        <v>0</v>
      </c>
    </row>
    <row r="76" spans="1:26" s="1562" customFormat="1" ht="11.45" customHeight="1">
      <c r="A76" s="963"/>
      <c r="B76" s="455"/>
      <c r="D76" s="964"/>
      <c r="E76" s="965"/>
      <c r="Z76" s="446">
        <v>11</v>
      </c>
    </row>
    <row r="77" spans="1:26" s="1562" customFormat="1" ht="11.25" hidden="1" customHeight="1">
      <c r="A77" s="2331" t="s">
        <v>909</v>
      </c>
      <c r="B77" s="448"/>
      <c r="D77" s="602">
        <v>1</v>
      </c>
      <c r="E77" s="603" t="s">
        <v>910</v>
      </c>
      <c r="F77" s="658" t="s">
        <v>812</v>
      </c>
      <c r="G77" s="661"/>
      <c r="H77" s="953"/>
      <c r="I77" s="661"/>
      <c r="J77" s="953"/>
      <c r="K77" s="661"/>
      <c r="L77" s="953"/>
      <c r="M77" s="226" t="s">
        <v>911</v>
      </c>
      <c r="Z77" s="693">
        <v>0</v>
      </c>
    </row>
    <row r="78" spans="1:26" s="1562" customFormat="1" ht="11.25" hidden="1" customHeight="1">
      <c r="A78" s="2331"/>
      <c r="B78" s="448"/>
      <c r="D78" s="602" t="s">
        <v>109</v>
      </c>
      <c r="E78" s="603" t="s">
        <v>912</v>
      </c>
      <c r="F78" s="658" t="s">
        <v>812</v>
      </c>
      <c r="G78" s="661"/>
      <c r="H78" s="953"/>
      <c r="I78" s="661"/>
      <c r="J78" s="953"/>
      <c r="K78" s="661"/>
      <c r="L78" s="953"/>
      <c r="M78" s="226" t="s">
        <v>913</v>
      </c>
      <c r="Z78" s="693">
        <v>0</v>
      </c>
    </row>
    <row r="79" spans="1:26" s="1562" customFormat="1" ht="22.5" hidden="1" customHeight="1">
      <c r="A79" s="2331"/>
      <c r="B79" s="448"/>
      <c r="D79" s="602" t="s">
        <v>89</v>
      </c>
      <c r="E79" s="659" t="s">
        <v>914</v>
      </c>
      <c r="F79" s="597" t="s">
        <v>861</v>
      </c>
      <c r="G79" s="661"/>
      <c r="H79" s="953"/>
      <c r="I79" s="661"/>
      <c r="J79" s="953"/>
      <c r="K79" s="661"/>
      <c r="L79" s="953"/>
      <c r="M79" s="226" t="s">
        <v>915</v>
      </c>
      <c r="Z79" s="693">
        <v>0</v>
      </c>
    </row>
    <row r="80" spans="1:26" s="1562" customFormat="1" ht="11.25" hidden="1" customHeight="1">
      <c r="A80" s="2331"/>
      <c r="B80" s="448"/>
      <c r="D80" s="602" t="s">
        <v>326</v>
      </c>
      <c r="E80" s="660" t="s">
        <v>916</v>
      </c>
      <c r="F80" s="597" t="s">
        <v>861</v>
      </c>
      <c r="G80" s="661"/>
      <c r="H80" s="953"/>
      <c r="I80" s="661"/>
      <c r="J80" s="953"/>
      <c r="K80" s="661"/>
      <c r="L80" s="953"/>
      <c r="M80" s="226"/>
      <c r="Z80" s="693">
        <v>0</v>
      </c>
    </row>
    <row r="81" spans="1:26" s="1562" customFormat="1" ht="11.25" hidden="1" customHeight="1">
      <c r="A81" s="2331"/>
      <c r="B81" s="448"/>
      <c r="D81" s="602" t="s">
        <v>334</v>
      </c>
      <c r="E81" s="660" t="s">
        <v>917</v>
      </c>
      <c r="F81" s="597" t="s">
        <v>861</v>
      </c>
      <c r="G81" s="661"/>
      <c r="H81" s="953"/>
      <c r="I81" s="661"/>
      <c r="J81" s="953"/>
      <c r="K81" s="661"/>
      <c r="L81" s="953"/>
      <c r="M81" s="226"/>
      <c r="Z81" s="693">
        <v>0</v>
      </c>
    </row>
    <row r="82" spans="1:26" s="1562" customFormat="1" ht="11.25" hidden="1" customHeight="1">
      <c r="A82" s="2331"/>
      <c r="B82" s="448"/>
      <c r="D82" s="602" t="s">
        <v>336</v>
      </c>
      <c r="E82" s="660" t="s">
        <v>918</v>
      </c>
      <c r="F82" s="597" t="s">
        <v>861</v>
      </c>
      <c r="G82" s="661"/>
      <c r="H82" s="953"/>
      <c r="I82" s="661"/>
      <c r="J82" s="953"/>
      <c r="K82" s="661"/>
      <c r="L82" s="953"/>
      <c r="M82" s="226"/>
      <c r="Z82" s="693">
        <v>0</v>
      </c>
    </row>
    <row r="83" spans="1:26" s="1562" customFormat="1" ht="11.25" hidden="1" customHeight="1">
      <c r="A83" s="2331"/>
      <c r="B83" s="448"/>
      <c r="D83" s="602" t="s">
        <v>338</v>
      </c>
      <c r="E83" s="660" t="s">
        <v>919</v>
      </c>
      <c r="F83" s="597" t="s">
        <v>861</v>
      </c>
      <c r="G83" s="661"/>
      <c r="H83" s="953"/>
      <c r="I83" s="661"/>
      <c r="J83" s="953"/>
      <c r="K83" s="661"/>
      <c r="L83" s="953"/>
      <c r="M83" s="226"/>
      <c r="Z83" s="693">
        <v>0</v>
      </c>
    </row>
    <row r="84" spans="1:26" s="1562" customFormat="1" ht="11.25" hidden="1" customHeight="1">
      <c r="A84" s="2331"/>
      <c r="B84" s="448"/>
      <c r="D84" s="602" t="s">
        <v>920</v>
      </c>
      <c r="E84" s="660" t="s">
        <v>921</v>
      </c>
      <c r="F84" s="597" t="s">
        <v>861</v>
      </c>
      <c r="G84" s="661"/>
      <c r="H84" s="953"/>
      <c r="I84" s="661"/>
      <c r="J84" s="953"/>
      <c r="K84" s="661"/>
      <c r="L84" s="953"/>
      <c r="M84" s="226"/>
      <c r="Z84" s="693">
        <v>0</v>
      </c>
    </row>
    <row r="85" spans="1:26" s="1562" customFormat="1" ht="11.25" hidden="1" customHeight="1">
      <c r="A85" s="2331"/>
      <c r="B85" s="448"/>
      <c r="D85" s="602" t="s">
        <v>922</v>
      </c>
      <c r="E85" s="660" t="s">
        <v>923</v>
      </c>
      <c r="F85" s="597" t="s">
        <v>861</v>
      </c>
      <c r="G85" s="661"/>
      <c r="H85" s="953"/>
      <c r="I85" s="661"/>
      <c r="J85" s="953"/>
      <c r="K85" s="661"/>
      <c r="L85" s="953"/>
      <c r="M85" s="226"/>
      <c r="Z85" s="693">
        <v>0</v>
      </c>
    </row>
    <row r="86" spans="1:26" s="1562" customFormat="1" ht="11.25" hidden="1" customHeight="1">
      <c r="A86" s="2331"/>
      <c r="B86" s="448"/>
      <c r="D86" s="602" t="s">
        <v>924</v>
      </c>
      <c r="E86" s="660" t="s">
        <v>925</v>
      </c>
      <c r="F86" s="597" t="s">
        <v>861</v>
      </c>
      <c r="G86" s="661"/>
      <c r="H86" s="953"/>
      <c r="I86" s="661"/>
      <c r="J86" s="953"/>
      <c r="K86" s="661"/>
      <c r="L86" s="953"/>
      <c r="M86" s="226"/>
      <c r="Z86" s="693">
        <v>0</v>
      </c>
    </row>
    <row r="87" spans="1:26" s="1562" customFormat="1" ht="45" hidden="1" customHeight="1">
      <c r="A87" s="2331"/>
      <c r="B87" s="448"/>
      <c r="D87" s="602" t="s">
        <v>90</v>
      </c>
      <c r="E87" s="603" t="s">
        <v>926</v>
      </c>
      <c r="F87" s="597" t="s">
        <v>861</v>
      </c>
      <c r="G87" s="661"/>
      <c r="H87" s="953"/>
      <c r="I87" s="661"/>
      <c r="J87" s="953"/>
      <c r="K87" s="661"/>
      <c r="L87" s="953"/>
      <c r="M87" s="226" t="s">
        <v>927</v>
      </c>
      <c r="Z87" s="693">
        <v>0</v>
      </c>
    </row>
    <row r="88" spans="1:26" s="1562" customFormat="1" ht="11.25" hidden="1" customHeight="1">
      <c r="A88" s="2331"/>
      <c r="B88" s="448"/>
      <c r="D88" s="602" t="s">
        <v>756</v>
      </c>
      <c r="E88" s="660" t="s">
        <v>916</v>
      </c>
      <c r="F88" s="597" t="s">
        <v>861</v>
      </c>
      <c r="G88" s="661"/>
      <c r="H88" s="953"/>
      <c r="I88" s="661"/>
      <c r="J88" s="953"/>
      <c r="K88" s="661"/>
      <c r="L88" s="953"/>
      <c r="M88" s="226"/>
      <c r="Z88" s="693">
        <v>0</v>
      </c>
    </row>
    <row r="89" spans="1:26" s="1562" customFormat="1" ht="11.25" hidden="1" customHeight="1">
      <c r="A89" s="2331"/>
      <c r="B89" s="448"/>
      <c r="D89" s="602" t="s">
        <v>798</v>
      </c>
      <c r="E89" s="660" t="s">
        <v>917</v>
      </c>
      <c r="F89" s="597" t="s">
        <v>861</v>
      </c>
      <c r="G89" s="661"/>
      <c r="H89" s="953"/>
      <c r="I89" s="661"/>
      <c r="J89" s="953"/>
      <c r="K89" s="661"/>
      <c r="L89" s="953"/>
      <c r="M89" s="226"/>
      <c r="Z89" s="693">
        <v>0</v>
      </c>
    </row>
    <row r="90" spans="1:26" s="1562" customFormat="1" ht="11.25" hidden="1" customHeight="1">
      <c r="A90" s="2331"/>
      <c r="B90" s="448"/>
      <c r="D90" s="602" t="s">
        <v>801</v>
      </c>
      <c r="E90" s="660" t="s">
        <v>918</v>
      </c>
      <c r="F90" s="597" t="s">
        <v>861</v>
      </c>
      <c r="G90" s="661"/>
      <c r="H90" s="953"/>
      <c r="I90" s="661"/>
      <c r="J90" s="953"/>
      <c r="K90" s="661"/>
      <c r="L90" s="953"/>
      <c r="M90" s="226"/>
      <c r="Z90" s="693">
        <v>0</v>
      </c>
    </row>
    <row r="91" spans="1:26" s="1562" customFormat="1" ht="11.25" hidden="1" customHeight="1">
      <c r="A91" s="2331"/>
      <c r="B91" s="448"/>
      <c r="D91" s="602" t="s">
        <v>879</v>
      </c>
      <c r="E91" s="660" t="s">
        <v>919</v>
      </c>
      <c r="F91" s="597" t="s">
        <v>861</v>
      </c>
      <c r="G91" s="661"/>
      <c r="H91" s="953"/>
      <c r="I91" s="661"/>
      <c r="J91" s="953"/>
      <c r="K91" s="661"/>
      <c r="L91" s="953"/>
      <c r="M91" s="226"/>
      <c r="Z91" s="693">
        <v>0</v>
      </c>
    </row>
    <row r="92" spans="1:26" s="1562" customFormat="1" ht="11.25" hidden="1" customHeight="1">
      <c r="A92" s="2331"/>
      <c r="B92" s="448"/>
      <c r="D92" s="602" t="s">
        <v>881</v>
      </c>
      <c r="E92" s="660" t="s">
        <v>921</v>
      </c>
      <c r="F92" s="597" t="s">
        <v>861</v>
      </c>
      <c r="G92" s="661"/>
      <c r="H92" s="953"/>
      <c r="I92" s="661"/>
      <c r="J92" s="953"/>
      <c r="K92" s="661"/>
      <c r="L92" s="953"/>
      <c r="M92" s="226"/>
      <c r="Z92" s="693">
        <v>0</v>
      </c>
    </row>
    <row r="93" spans="1:26" s="1562" customFormat="1" ht="11.25" hidden="1" customHeight="1">
      <c r="A93" s="2331"/>
      <c r="B93" s="448"/>
      <c r="D93" s="602" t="s">
        <v>928</v>
      </c>
      <c r="E93" s="660" t="s">
        <v>923</v>
      </c>
      <c r="F93" s="597" t="s">
        <v>861</v>
      </c>
      <c r="G93" s="661"/>
      <c r="H93" s="953"/>
      <c r="I93" s="661"/>
      <c r="J93" s="953"/>
      <c r="K93" s="661"/>
      <c r="L93" s="953"/>
      <c r="M93" s="226"/>
      <c r="Z93" s="693">
        <v>0</v>
      </c>
    </row>
    <row r="94" spans="1:26" s="1562" customFormat="1" ht="11.25" hidden="1" customHeight="1">
      <c r="A94" s="2331"/>
      <c r="B94" s="448"/>
      <c r="D94" s="602" t="s">
        <v>929</v>
      </c>
      <c r="E94" s="660" t="s">
        <v>925</v>
      </c>
      <c r="F94" s="597" t="s">
        <v>861</v>
      </c>
      <c r="G94" s="661"/>
      <c r="H94" s="953"/>
      <c r="I94" s="661"/>
      <c r="J94" s="953"/>
      <c r="K94" s="661"/>
      <c r="L94" s="953"/>
      <c r="M94" s="226"/>
      <c r="Z94" s="693">
        <v>0</v>
      </c>
    </row>
    <row r="95" spans="1:26" s="1562" customFormat="1" ht="24.75" hidden="1" customHeight="1">
      <c r="A95" s="2331"/>
      <c r="B95" s="448"/>
      <c r="D95" s="602" t="s">
        <v>110</v>
      </c>
      <c r="E95" s="603" t="s">
        <v>930</v>
      </c>
      <c r="F95" s="662" t="s">
        <v>560</v>
      </c>
      <c r="G95" s="664"/>
      <c r="H95" s="953"/>
      <c r="I95" s="664"/>
      <c r="J95" s="953"/>
      <c r="K95" s="664"/>
      <c r="L95" s="953"/>
      <c r="M95" s="226" t="s">
        <v>931</v>
      </c>
      <c r="Z95" s="693">
        <v>0</v>
      </c>
    </row>
    <row r="96" spans="1:26" s="1562" customFormat="1" ht="33.75" hidden="1" customHeight="1">
      <c r="A96" s="2331"/>
      <c r="B96" s="448"/>
      <c r="D96" s="602" t="s">
        <v>91</v>
      </c>
      <c r="E96" s="603" t="s">
        <v>932</v>
      </c>
      <c r="F96" s="663" t="s">
        <v>822</v>
      </c>
      <c r="G96" s="665"/>
      <c r="H96" s="953"/>
      <c r="I96" s="665"/>
      <c r="J96" s="953"/>
      <c r="K96" s="665"/>
      <c r="L96" s="953"/>
      <c r="M96" s="226"/>
      <c r="Z96" s="693">
        <v>0</v>
      </c>
    </row>
    <row r="97" spans="1:26" s="1562" customFormat="1" ht="22.5" hidden="1" customHeight="1">
      <c r="A97" s="2331"/>
      <c r="B97" s="448" t="s">
        <v>590</v>
      </c>
      <c r="D97" s="602" t="s">
        <v>92</v>
      </c>
      <c r="E97" s="603" t="s">
        <v>933</v>
      </c>
      <c r="F97" s="663" t="s">
        <v>308</v>
      </c>
      <c r="G97" s="322"/>
      <c r="H97" s="953"/>
      <c r="I97" s="322"/>
      <c r="J97" s="953"/>
      <c r="K97" s="322"/>
      <c r="L97" s="953"/>
      <c r="M97" s="226" t="s">
        <v>634</v>
      </c>
      <c r="Z97" s="693">
        <v>0</v>
      </c>
    </row>
    <row r="98" spans="1:26" s="1562" customFormat="1" ht="45" hidden="1" customHeight="1">
      <c r="A98" s="2331"/>
      <c r="B98" s="448" t="s">
        <v>590</v>
      </c>
      <c r="D98" s="602" t="s">
        <v>934</v>
      </c>
      <c r="E98" s="604" t="s">
        <v>935</v>
      </c>
      <c r="F98" s="658" t="s">
        <v>308</v>
      </c>
      <c r="G98" s="322"/>
      <c r="H98" s="953"/>
      <c r="I98" s="322"/>
      <c r="J98" s="953"/>
      <c r="K98" s="322"/>
      <c r="L98" s="953"/>
      <c r="M98" s="226" t="s">
        <v>634</v>
      </c>
      <c r="Z98" s="693">
        <v>0</v>
      </c>
    </row>
    <row r="99" spans="1:26" s="1562" customFormat="1" ht="95.25" hidden="1" customHeight="1">
      <c r="A99" s="2331"/>
      <c r="B99" s="448" t="s">
        <v>590</v>
      </c>
      <c r="D99" s="602" t="s">
        <v>111</v>
      </c>
      <c r="E99" s="603" t="s">
        <v>936</v>
      </c>
      <c r="F99" s="658" t="s">
        <v>308</v>
      </c>
      <c r="G99" s="322"/>
      <c r="H99" s="953"/>
      <c r="I99" s="322"/>
      <c r="J99" s="953"/>
      <c r="K99" s="322"/>
      <c r="L99" s="953"/>
      <c r="M99" s="226" t="s">
        <v>634</v>
      </c>
      <c r="Z99" s="693">
        <v>0</v>
      </c>
    </row>
    <row r="100" spans="1:26" s="1562" customFormat="1" ht="22.5" hidden="1" customHeight="1">
      <c r="A100" s="2331"/>
      <c r="B100" s="448" t="s">
        <v>590</v>
      </c>
      <c r="D100" s="602" t="s">
        <v>152</v>
      </c>
      <c r="E100" s="603" t="s">
        <v>937</v>
      </c>
      <c r="F100" s="658" t="s">
        <v>308</v>
      </c>
      <c r="G100" s="322"/>
      <c r="H100" s="953"/>
      <c r="I100" s="322"/>
      <c r="J100" s="953"/>
      <c r="K100" s="322"/>
      <c r="L100" s="953"/>
      <c r="M100" s="226" t="s">
        <v>634</v>
      </c>
      <c r="Z100" s="693">
        <v>0</v>
      </c>
    </row>
    <row r="101" spans="1:26" s="1562" customFormat="1" ht="11.45" customHeight="1">
      <c r="A101" s="963"/>
      <c r="B101" s="455"/>
      <c r="D101" s="964"/>
      <c r="E101" s="965"/>
      <c r="Z101" s="446">
        <v>11</v>
      </c>
    </row>
    <row r="102" spans="1:26" ht="22.5" hidden="1" customHeight="1">
      <c r="A102" s="473" t="s">
        <v>81</v>
      </c>
      <c r="B102" s="448">
        <v>0</v>
      </c>
      <c r="C102" s="442">
        <v>3</v>
      </c>
      <c r="D102" s="442">
        <v>7</v>
      </c>
      <c r="E102" s="442">
        <v>69</v>
      </c>
      <c r="F102" s="442">
        <v>10</v>
      </c>
      <c r="G102" s="442">
        <v>0</v>
      </c>
      <c r="H102" s="442">
        <v>0</v>
      </c>
      <c r="I102" s="693">
        <v>43</v>
      </c>
      <c r="J102" s="693">
        <v>43</v>
      </c>
      <c r="K102" s="1562">
        <v>0</v>
      </c>
      <c r="L102" s="1562">
        <v>0</v>
      </c>
      <c r="M102" s="442">
        <v>73</v>
      </c>
      <c r="N102" s="442">
        <v>3</v>
      </c>
      <c r="O102" s="442">
        <v>10</v>
      </c>
      <c r="P102" s="442">
        <v>10</v>
      </c>
      <c r="Q102" s="442">
        <v>10</v>
      </c>
      <c r="R102" s="442">
        <v>10</v>
      </c>
      <c r="S102" s="442">
        <v>10</v>
      </c>
      <c r="T102" s="442">
        <v>10</v>
      </c>
      <c r="U102" s="442">
        <v>10</v>
      </c>
      <c r="V102" s="442">
        <v>10</v>
      </c>
      <c r="W102" s="442">
        <v>10</v>
      </c>
      <c r="X102" s="442">
        <v>10</v>
      </c>
      <c r="Y102" s="442">
        <v>10</v>
      </c>
      <c r="Z102" s="442">
        <v>23</v>
      </c>
    </row>
  </sheetData>
  <sheetProtection formatColumns="0" formatRows="0" insertRows="0" deleteColumns="0" deleteRows="0" sort="0" autoFilter="0"/>
  <mergeCells count="21">
    <mergeCell ref="A37:A63"/>
    <mergeCell ref="A65:A75"/>
    <mergeCell ref="A77:A100"/>
    <mergeCell ref="A13:A35"/>
    <mergeCell ref="A11:B1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8"/>
  <sheetViews>
    <sheetView showGridLines="0" zoomScale="90" workbookViewId="0">
      <pane xSplit="4" ySplit="12" topLeftCell="E13" activePane="bottomRight" state="frozen"/>
      <selection pane="topRight" activeCell="E1" sqref="E1"/>
      <selection pane="bottomLeft" activeCell="A13" sqref="A13"/>
      <selection pane="bottomRight" activeCell="M14" sqref="M14"/>
    </sheetView>
  </sheetViews>
  <sheetFormatPr defaultColWidth="9.140625" defaultRowHeight="11.25" customHeight="1"/>
  <cols>
    <col min="1" max="1" width="6.42578125" style="1779" hidden="1" customWidth="1"/>
    <col min="2" max="2" width="2" style="1779" hidden="1" customWidth="1"/>
    <col min="3" max="3" width="3" style="1779" hidden="1" customWidth="1"/>
    <col min="4" max="4" width="4" style="1779" customWidth="1"/>
    <col min="5" max="5" width="44" style="1779" customWidth="1"/>
    <col min="6" max="6" width="6.42578125" style="1779" customWidth="1"/>
    <col min="7" max="7" width="4" style="1779" customWidth="1"/>
    <col min="8" max="8" width="5" style="1779" customWidth="1"/>
    <col min="9" max="9" width="15.28515625" style="1779" customWidth="1"/>
    <col min="10" max="10" width="7" style="1779" customWidth="1"/>
    <col min="11" max="11" width="3" style="1779" customWidth="1"/>
    <col min="12" max="12" width="6" style="1779" customWidth="1"/>
    <col min="13" max="13" width="41.5703125"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84"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85"/>
      <c r="F4" s="2085"/>
      <c r="G4" s="2085"/>
      <c r="H4" s="2085"/>
      <c r="I4" s="2086"/>
      <c r="J4" s="521"/>
      <c r="K4" s="521"/>
      <c r="L4" s="521"/>
      <c r="M4" s="521"/>
      <c r="AM4" s="520">
        <v>34</v>
      </c>
    </row>
    <row r="5" spans="1:39" s="526" customFormat="1" ht="14.65" customHeight="1">
      <c r="A5" s="522"/>
      <c r="B5" s="522"/>
      <c r="C5" s="522"/>
      <c r="D5" s="2087" t="str">
        <f>IF(org=0,"Не определено",org)</f>
        <v>МУП "Михайловское водопроводно-канализационное хозяйство"</v>
      </c>
      <c r="E5" s="2088"/>
      <c r="F5" s="2088"/>
      <c r="G5" s="2088"/>
      <c r="H5" s="2088"/>
      <c r="I5" s="208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76"/>
      <c r="B6" s="2076"/>
      <c r="C6" s="2076"/>
      <c r="D6" s="2076"/>
      <c r="E6" s="2076"/>
      <c r="F6" s="207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9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5"/>
      <c r="G7" s="2095"/>
      <c r="H7" s="2095"/>
      <c r="I7" s="2095"/>
      <c r="J7" s="2095"/>
      <c r="K7" s="2095"/>
      <c r="L7" s="2095"/>
      <c r="M7" s="209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90"/>
      <c r="B9" s="260"/>
      <c r="C9" s="260"/>
      <c r="D9" s="2091" t="s">
        <v>104</v>
      </c>
      <c r="E9" s="2091"/>
      <c r="F9" s="2092" t="s">
        <v>105</v>
      </c>
      <c r="G9" s="2093"/>
      <c r="H9" s="2093"/>
      <c r="I9" s="2093"/>
      <c r="J9" s="2096" t="s">
        <v>106</v>
      </c>
      <c r="K9" s="2096"/>
      <c r="L9" s="2096"/>
      <c r="M9" s="2096"/>
      <c r="AM9" s="520">
        <v>18</v>
      </c>
    </row>
    <row r="10" spans="1:39" ht="24" customHeight="1">
      <c r="A10" s="2090"/>
      <c r="B10" s="529"/>
      <c r="C10" s="462"/>
      <c r="D10" s="460" t="s">
        <v>87</v>
      </c>
      <c r="E10" s="460" t="s">
        <v>88</v>
      </c>
      <c r="F10" s="460" t="s">
        <v>107</v>
      </c>
      <c r="G10" s="2097" t="s">
        <v>87</v>
      </c>
      <c r="H10" s="2098"/>
      <c r="I10" s="460" t="s">
        <v>88</v>
      </c>
      <c r="J10" s="460" t="s">
        <v>107</v>
      </c>
      <c r="K10" s="2097" t="s">
        <v>87</v>
      </c>
      <c r="L10" s="2098"/>
      <c r="M10" s="460" t="s">
        <v>88</v>
      </c>
      <c r="N10" s="1554"/>
      <c r="AM10" s="520">
        <v>23</v>
      </c>
    </row>
    <row r="11" spans="1:39" s="1779" customFormat="1" ht="11.25" hidden="1" customHeight="1">
      <c r="A11" s="530"/>
      <c r="B11" s="530"/>
      <c r="C11" s="530"/>
      <c r="D11" s="531" t="s">
        <v>108</v>
      </c>
      <c r="E11" s="531" t="s">
        <v>109</v>
      </c>
      <c r="F11" s="531" t="s">
        <v>89</v>
      </c>
      <c r="G11" s="2080" t="s">
        <v>90</v>
      </c>
      <c r="H11" s="2081"/>
      <c r="I11" s="531" t="s">
        <v>110</v>
      </c>
      <c r="J11" s="531" t="s">
        <v>91</v>
      </c>
      <c r="K11" s="2082" t="s">
        <v>92</v>
      </c>
      <c r="L11" s="2083"/>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38.25" customHeight="1">
      <c r="A13" s="230"/>
      <c r="B13" s="230"/>
      <c r="C13" s="463"/>
      <c r="D13" s="2103" t="s">
        <v>108</v>
      </c>
      <c r="E13" s="2104" t="str">
        <f>INDEX(VD_NAME_LIST,MATCH("4189677",VD_ID_LIST,0))</f>
        <v>Подключение (технологическое присоединение) к централизованной системе водоснабжения</v>
      </c>
      <c r="F13" s="2107" t="s">
        <v>19</v>
      </c>
      <c r="G13" s="2108"/>
      <c r="H13" s="2109">
        <v>1</v>
      </c>
      <c r="I13" s="2099" t="s">
        <v>22</v>
      </c>
      <c r="J13" s="2102" t="s">
        <v>65</v>
      </c>
      <c r="K13" s="539"/>
      <c r="L13" s="464" t="s">
        <v>108</v>
      </c>
      <c r="M13" s="2036" t="s">
        <v>116</v>
      </c>
      <c r="N13" s="743"/>
      <c r="O13" s="1343" t="s">
        <v>117</v>
      </c>
      <c r="P13" s="1340" t="str">
        <f>$E$13</f>
        <v>Подключение (технологическое присоединение) к централизованной системе водоснабжения</v>
      </c>
      <c r="Q13" s="1340" t="str">
        <f>IF($F$13="нет","без дифференциации",$I$13)</f>
        <v>без дифференциации</v>
      </c>
      <c r="R13" s="1340" t="str">
        <f>IF($J$13="нет","без дифференциации",M13)</f>
        <v>Централизованная система водоснабжения (питьевая вода)</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ht="34.5" customHeight="1">
      <c r="A14" s="360"/>
      <c r="B14" s="360"/>
      <c r="C14" s="113"/>
      <c r="D14" s="2100"/>
      <c r="E14" s="2100"/>
      <c r="F14" s="2100"/>
      <c r="G14" s="2100"/>
      <c r="H14" s="2100"/>
      <c r="I14" s="2100"/>
      <c r="J14" s="2100"/>
      <c r="K14" s="1726" t="s">
        <v>120</v>
      </c>
      <c r="L14" s="1656" t="s">
        <v>109</v>
      </c>
      <c r="M14" s="742" t="s">
        <v>121</v>
      </c>
      <c r="N14" s="743"/>
      <c r="O14" s="541" t="s">
        <v>122</v>
      </c>
      <c r="P14" s="541" t="str">
        <f>$E$13</f>
        <v>Подключение (технологическое присоединение) к централизованной системе водоснабжения</v>
      </c>
      <c r="Q14" s="541" t="str">
        <f>IF($F$13="нет","без дифференциации",$I$13)</f>
        <v>без дифференциации</v>
      </c>
      <c r="R14" s="541" t="str">
        <f>IF($J$14="нет","без дифференциации",$M$14)</f>
        <v>Централизованная система водоснабжения (техническая вода)</v>
      </c>
      <c r="S14" s="541"/>
      <c r="T14" s="541"/>
      <c r="U14" s="542"/>
      <c r="V14" s="541"/>
      <c r="W14" s="541"/>
      <c r="X14" s="532"/>
      <c r="Y14" s="532" t="s">
        <v>119</v>
      </c>
      <c r="Z14" s="532">
        <v>1705000</v>
      </c>
      <c r="AA14" s="532"/>
      <c r="AB14" s="532"/>
      <c r="AC14" s="532"/>
      <c r="AD14" s="532"/>
      <c r="AE14" s="532"/>
      <c r="AF14" s="532"/>
      <c r="AG14" s="532"/>
      <c r="AH14" s="532"/>
      <c r="AI14" s="532"/>
      <c r="AJ14" s="532"/>
      <c r="AK14" s="532"/>
      <c r="AL14" s="532"/>
    </row>
    <row r="15" spans="1:39" s="1779" customFormat="1" ht="40.5" customHeight="1">
      <c r="A15" s="230"/>
      <c r="B15" s="230"/>
      <c r="C15" s="113"/>
      <c r="D15" s="2103"/>
      <c r="E15" s="2105"/>
      <c r="F15" s="2102"/>
      <c r="G15" s="2108"/>
      <c r="H15" s="2109"/>
      <c r="I15" s="2101" t="s">
        <v>22</v>
      </c>
      <c r="J15" s="2102"/>
      <c r="K15" s="358"/>
      <c r="L15" s="114"/>
      <c r="M15" s="544" t="s">
        <v>123</v>
      </c>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s="1779" customFormat="1" ht="15.75" customHeight="1">
      <c r="A16" s="230"/>
      <c r="B16" s="230"/>
      <c r="C16" s="113"/>
      <c r="D16" s="2103"/>
      <c r="E16" s="2106"/>
      <c r="F16" s="2102"/>
      <c r="G16" s="990"/>
      <c r="H16" s="991"/>
      <c r="I16" s="517" t="s">
        <v>124</v>
      </c>
      <c r="J16" s="114"/>
      <c r="K16" s="114"/>
      <c r="L16" s="114"/>
      <c r="M16" s="545"/>
      <c r="N16" s="743"/>
      <c r="O16" s="1343"/>
      <c r="P16" s="1340"/>
      <c r="Q16" s="1340"/>
      <c r="R16" s="1340"/>
      <c r="S16" s="1343"/>
      <c r="T16" s="1343"/>
      <c r="U16" s="1193"/>
      <c r="V16" s="1193"/>
      <c r="W16" s="1193"/>
      <c r="X16" s="1193"/>
      <c r="Y16" s="541"/>
      <c r="Z16" s="541"/>
      <c r="AA16" s="541"/>
      <c r="AB16" s="541"/>
      <c r="AC16" s="541"/>
      <c r="AD16" s="541"/>
      <c r="AE16" s="541"/>
      <c r="AF16" s="541"/>
      <c r="AG16" s="541"/>
      <c r="AH16" s="541"/>
      <c r="AI16" s="541"/>
      <c r="AJ16" s="541"/>
      <c r="AK16" s="541"/>
      <c r="AL16" s="541"/>
      <c r="AM16" s="543">
        <v>15</v>
      </c>
    </row>
    <row r="17" spans="1:39" ht="15.75" customHeight="1">
      <c r="A17" s="546"/>
      <c r="B17" s="73"/>
      <c r="C17" s="737"/>
      <c r="D17" s="358"/>
      <c r="E17" s="508" t="s">
        <v>125</v>
      </c>
      <c r="F17" s="114"/>
      <c r="G17" s="114"/>
      <c r="H17" s="114"/>
      <c r="I17" s="114"/>
      <c r="J17" s="114"/>
      <c r="K17" s="114" t="s">
        <v>22</v>
      </c>
      <c r="L17" s="114"/>
      <c r="M17" s="545"/>
      <c r="N17" s="1554"/>
      <c r="AM17" s="520">
        <v>15</v>
      </c>
    </row>
    <row r="18" spans="1:39" ht="11.25" hidden="1" customHeight="1">
      <c r="A18" s="520" t="s">
        <v>81</v>
      </c>
      <c r="B18" s="520">
        <v>0</v>
      </c>
      <c r="C18" s="520">
        <v>3</v>
      </c>
      <c r="D18" s="520">
        <v>4</v>
      </c>
      <c r="E18" s="520">
        <v>44</v>
      </c>
      <c r="F18" s="520">
        <v>6</v>
      </c>
      <c r="G18" s="520">
        <v>4</v>
      </c>
      <c r="H18" s="520">
        <v>5</v>
      </c>
      <c r="I18" s="520">
        <v>52</v>
      </c>
      <c r="J18" s="520">
        <v>6</v>
      </c>
      <c r="K18" s="520">
        <v>3</v>
      </c>
      <c r="L18" s="520">
        <v>6</v>
      </c>
      <c r="M18" s="520">
        <v>56</v>
      </c>
      <c r="N18" s="521">
        <v>8</v>
      </c>
      <c r="O18" s="1340">
        <v>0</v>
      </c>
      <c r="P18" s="1340">
        <v>0</v>
      </c>
      <c r="Q18" s="1340">
        <v>0</v>
      </c>
      <c r="R18" s="1340">
        <v>0</v>
      </c>
      <c r="S18" s="1340">
        <v>0</v>
      </c>
      <c r="T18" s="1340">
        <v>0</v>
      </c>
      <c r="U18" s="1190">
        <v>0</v>
      </c>
      <c r="V18" s="1190">
        <v>0</v>
      </c>
      <c r="W18" s="1190">
        <v>0</v>
      </c>
      <c r="X18" s="1190">
        <v>0</v>
      </c>
      <c r="Y18" s="521">
        <v>0</v>
      </c>
      <c r="Z18" s="521">
        <v>0</v>
      </c>
      <c r="AA18" s="521">
        <v>0</v>
      </c>
      <c r="AB18" s="521">
        <v>0</v>
      </c>
      <c r="AC18" s="521">
        <v>0</v>
      </c>
      <c r="AD18" s="521">
        <v>0</v>
      </c>
      <c r="AE18" s="521">
        <v>0</v>
      </c>
      <c r="AF18" s="521">
        <v>0</v>
      </c>
      <c r="AG18" s="521">
        <v>0</v>
      </c>
      <c r="AH18" s="521">
        <v>0</v>
      </c>
      <c r="AI18" s="521">
        <v>0</v>
      </c>
      <c r="AJ18" s="521">
        <v>0</v>
      </c>
      <c r="AK18" s="521">
        <v>0</v>
      </c>
      <c r="AL18" s="521">
        <v>8</v>
      </c>
      <c r="AM18" s="520">
        <v>11</v>
      </c>
    </row>
  </sheetData>
  <sheetProtection formatColumns="0" formatRows="0" insertRows="0" deleteColumns="0" deleteRows="0" sort="0" autoFilter="0"/>
  <mergeCells count="19">
    <mergeCell ref="I13:I15"/>
    <mergeCell ref="J13:J15"/>
    <mergeCell ref="D13:D16"/>
    <mergeCell ref="E13:E16"/>
    <mergeCell ref="F13:F16"/>
    <mergeCell ref="G13:G15"/>
    <mergeCell ref="H13:H15"/>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s>
  <pageMargins left="0.7" right="0.7" top="0.75" bottom="0.75" header="0.3" footer="0.3"/>
  <pageSetup paperSize="9"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zoomScale="90" workbookViewId="0">
      <pane xSplit="8" ySplit="31" topLeftCell="K32" activePane="bottomRight" state="frozen"/>
      <selection pane="topRight" activeCell="I1" sqref="I1"/>
      <selection pane="bottomLeft" activeCell="A32" sqref="A32"/>
      <selection pane="bottomRight" activeCell="K25" sqref="K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93" style="1293" customWidth="1"/>
    <col min="14" max="22" width="10" style="1562" customWidth="1"/>
    <col min="23" max="23" width="10" style="612" customWidth="1"/>
    <col min="24" max="24" width="10.5703125" style="1562" hidden="1"/>
  </cols>
  <sheetData>
    <row r="1" spans="1:24" s="1293" customFormat="1" ht="22.5" hidden="1" customHeight="1">
      <c r="C1" s="609"/>
      <c r="G1" s="354">
        <v>4</v>
      </c>
      <c r="I1" s="354">
        <v>4</v>
      </c>
      <c r="K1" s="1293">
        <v>4</v>
      </c>
      <c r="W1" s="357"/>
      <c r="X1" s="354" t="s">
        <v>14</v>
      </c>
    </row>
    <row r="2" spans="1:24" s="1293" customFormat="1" ht="15" hidden="1" customHeight="1">
      <c r="C2" s="609"/>
      <c r="W2" s="357"/>
      <c r="X2" s="354">
        <v>0</v>
      </c>
    </row>
    <row r="3" spans="1:24" ht="22.5" hidden="1" customHeight="1">
      <c r="A3" s="442"/>
      <c r="B3" s="2332"/>
      <c r="C3" s="2333" t="s">
        <v>120</v>
      </c>
      <c r="D3" s="626" t="str">
        <f>B3&amp;".1"</f>
        <v>.1</v>
      </c>
      <c r="E3" s="627" t="s">
        <v>938</v>
      </c>
      <c r="F3" s="628" t="s">
        <v>308</v>
      </c>
      <c r="G3" s="623"/>
      <c r="H3" s="338"/>
      <c r="I3" s="623"/>
      <c r="J3" s="338"/>
      <c r="K3" s="2012"/>
      <c r="L3" s="749"/>
      <c r="M3" s="226" t="s">
        <v>939</v>
      </c>
      <c r="X3" s="442">
        <v>0</v>
      </c>
    </row>
    <row r="4" spans="1:24" ht="15" hidden="1" customHeight="1">
      <c r="A4" s="442"/>
      <c r="B4" s="2332"/>
      <c r="C4" s="2333"/>
      <c r="D4" s="626" t="str">
        <f>B3&amp;".2"</f>
        <v>.2</v>
      </c>
      <c r="E4" s="627" t="s">
        <v>940</v>
      </c>
      <c r="F4" s="628" t="s">
        <v>308</v>
      </c>
      <c r="G4" s="1665" t="s">
        <v>22</v>
      </c>
      <c r="H4" s="338"/>
      <c r="I4" s="1665" t="s">
        <v>22</v>
      </c>
      <c r="J4" s="338"/>
      <c r="K4" s="1665" t="s">
        <v>22</v>
      </c>
      <c r="L4" s="749"/>
      <c r="M4" s="226" t="s">
        <v>941</v>
      </c>
      <c r="X4" s="442">
        <v>0</v>
      </c>
    </row>
    <row r="5" spans="1:24" s="1293" customFormat="1" ht="15" hidden="1" customHeight="1">
      <c r="C5" s="609"/>
      <c r="W5" s="357"/>
      <c r="X5" s="354">
        <v>0</v>
      </c>
    </row>
    <row r="6" spans="1:24" ht="22.5" hidden="1" customHeight="1">
      <c r="A6" s="442"/>
      <c r="B6" s="2332"/>
      <c r="C6" s="2333" t="s">
        <v>120</v>
      </c>
      <c r="D6" s="626" t="str">
        <f>B6&amp;".1"</f>
        <v>.1</v>
      </c>
      <c r="E6" s="627" t="s">
        <v>942</v>
      </c>
      <c r="F6" s="628" t="s">
        <v>308</v>
      </c>
      <c r="G6" s="623"/>
      <c r="H6" s="338"/>
      <c r="I6" s="623"/>
      <c r="J6" s="338"/>
      <c r="K6" s="2012"/>
      <c r="L6" s="749"/>
      <c r="M6" s="226" t="s">
        <v>943</v>
      </c>
      <c r="X6" s="442">
        <v>0</v>
      </c>
    </row>
    <row r="7" spans="1:24" ht="15" hidden="1" customHeight="1">
      <c r="A7" s="442"/>
      <c r="B7" s="2332"/>
      <c r="C7" s="2333"/>
      <c r="D7" s="626" t="str">
        <f>B6&amp;".2"</f>
        <v>.2</v>
      </c>
      <c r="E7" s="627" t="s">
        <v>940</v>
      </c>
      <c r="F7" s="628" t="s">
        <v>308</v>
      </c>
      <c r="G7" s="1665" t="s">
        <v>22</v>
      </c>
      <c r="H7" s="338"/>
      <c r="I7" s="1665" t="s">
        <v>22</v>
      </c>
      <c r="J7" s="338"/>
      <c r="K7" s="1665" t="s">
        <v>22</v>
      </c>
      <c r="L7" s="749"/>
      <c r="M7" s="226" t="s">
        <v>941</v>
      </c>
      <c r="X7" s="442">
        <v>0</v>
      </c>
    </row>
    <row r="8" spans="1:24" s="1293" customFormat="1" ht="15" hidden="1" customHeight="1">
      <c r="C8" s="609"/>
      <c r="W8" s="357"/>
      <c r="X8" s="354">
        <v>0</v>
      </c>
    </row>
    <row r="9" spans="1:24" ht="22.5" hidden="1" customHeight="1">
      <c r="A9" s="442"/>
      <c r="B9" s="2332"/>
      <c r="C9" s="2333" t="s">
        <v>120</v>
      </c>
      <c r="D9" s="626" t="str">
        <f>B9&amp;".1"</f>
        <v>.1</v>
      </c>
      <c r="E9" s="627" t="s">
        <v>944</v>
      </c>
      <c r="F9" s="628" t="s">
        <v>308</v>
      </c>
      <c r="G9" s="634" t="s">
        <v>22</v>
      </c>
      <c r="H9" s="338" t="s">
        <v>22</v>
      </c>
      <c r="I9" s="634" t="s">
        <v>22</v>
      </c>
      <c r="J9" s="338" t="s">
        <v>22</v>
      </c>
      <c r="K9" s="792" t="s">
        <v>22</v>
      </c>
      <c r="L9" s="749" t="s">
        <v>22</v>
      </c>
      <c r="M9" s="226"/>
      <c r="X9" s="442">
        <v>0</v>
      </c>
    </row>
    <row r="10" spans="1:24" ht="15" hidden="1" customHeight="1">
      <c r="A10" s="442"/>
      <c r="B10" s="2332"/>
      <c r="C10" s="2333"/>
      <c r="D10" s="626" t="str">
        <f>B9&amp;".2"</f>
        <v>.2</v>
      </c>
      <c r="E10" s="627" t="s">
        <v>945</v>
      </c>
      <c r="F10" s="628" t="s">
        <v>308</v>
      </c>
      <c r="G10" s="1659" t="s">
        <v>22</v>
      </c>
      <c r="H10" s="338" t="s">
        <v>22</v>
      </c>
      <c r="I10" s="1659" t="s">
        <v>22</v>
      </c>
      <c r="J10" s="338" t="s">
        <v>22</v>
      </c>
      <c r="K10" s="1659" t="s">
        <v>22</v>
      </c>
      <c r="L10" s="749" t="s">
        <v>22</v>
      </c>
      <c r="M10" s="226" t="s">
        <v>946</v>
      </c>
      <c r="X10" s="442">
        <v>0</v>
      </c>
    </row>
    <row r="11" spans="1:24" ht="15" hidden="1" customHeight="1">
      <c r="A11" s="442"/>
      <c r="B11" s="2332"/>
      <c r="C11" s="2333"/>
      <c r="D11" s="626" t="str">
        <f>B9&amp;".3"</f>
        <v>.3</v>
      </c>
      <c r="E11" s="627" t="s">
        <v>947</v>
      </c>
      <c r="F11" s="628" t="s">
        <v>308</v>
      </c>
      <c r="G11" s="1659" t="s">
        <v>22</v>
      </c>
      <c r="H11" s="338" t="s">
        <v>22</v>
      </c>
      <c r="I11" s="1659" t="s">
        <v>22</v>
      </c>
      <c r="J11" s="338" t="s">
        <v>22</v>
      </c>
      <c r="K11" s="1659" t="s">
        <v>22</v>
      </c>
      <c r="L11" s="749" t="s">
        <v>22</v>
      </c>
      <c r="M11" s="226" t="s">
        <v>948</v>
      </c>
      <c r="X11" s="442">
        <v>0</v>
      </c>
    </row>
    <row r="12" spans="1:24" s="1293" customFormat="1" ht="15" hidden="1" customHeight="1">
      <c r="C12" s="609"/>
      <c r="W12" s="357"/>
      <c r="X12" s="354">
        <v>0</v>
      </c>
    </row>
    <row r="13" spans="1:24" ht="33.75" hidden="1" customHeight="1">
      <c r="A13" s="442"/>
      <c r="B13" s="2332"/>
      <c r="C13" s="2333" t="s">
        <v>120</v>
      </c>
      <c r="D13" s="626" t="str">
        <f>B13&amp;".1"</f>
        <v>.1</v>
      </c>
      <c r="E13" s="627" t="s">
        <v>949</v>
      </c>
      <c r="F13" s="628" t="s">
        <v>308</v>
      </c>
      <c r="G13" s="634" t="s">
        <v>22</v>
      </c>
      <c r="H13" s="338" t="s">
        <v>22</v>
      </c>
      <c r="I13" s="634" t="s">
        <v>22</v>
      </c>
      <c r="J13" s="338" t="s">
        <v>22</v>
      </c>
      <c r="K13" s="792" t="s">
        <v>22</v>
      </c>
      <c r="L13" s="749" t="s">
        <v>22</v>
      </c>
      <c r="M13" s="226" t="s">
        <v>950</v>
      </c>
      <c r="X13" s="442">
        <v>0</v>
      </c>
    </row>
    <row r="14" spans="1:24" ht="15" hidden="1" customHeight="1">
      <c r="B14" s="2332"/>
      <c r="C14" s="2333"/>
      <c r="D14" s="626" t="str">
        <f>B13&amp;".2"</f>
        <v>.2</v>
      </c>
      <c r="E14" s="627" t="s">
        <v>951</v>
      </c>
      <c r="F14" s="628" t="s">
        <v>308</v>
      </c>
      <c r="G14" s="1659" t="s">
        <v>22</v>
      </c>
      <c r="H14" s="338" t="s">
        <v>22</v>
      </c>
      <c r="I14" s="1659" t="s">
        <v>22</v>
      </c>
      <c r="J14" s="338" t="s">
        <v>22</v>
      </c>
      <c r="K14" s="1659" t="s">
        <v>22</v>
      </c>
      <c r="L14" s="749" t="s">
        <v>22</v>
      </c>
      <c r="M14" s="226" t="s">
        <v>952</v>
      </c>
      <c r="X14" s="442">
        <v>0</v>
      </c>
    </row>
    <row r="15" spans="1:24" s="1293" customFormat="1" ht="15" hidden="1" customHeight="1">
      <c r="C15" s="609"/>
      <c r="W15" s="357"/>
      <c r="X15" s="354">
        <v>0</v>
      </c>
    </row>
    <row r="16" spans="1:24" s="1293" customFormat="1" ht="15" hidden="1" customHeight="1">
      <c r="C16" s="609"/>
      <c r="W16" s="357"/>
      <c r="X16" s="354">
        <v>0</v>
      </c>
    </row>
    <row r="17" spans="1:24" s="1293" customFormat="1" ht="15" hidden="1" customHeight="1">
      <c r="C17" s="609"/>
      <c r="W17" s="357"/>
      <c r="X17" s="354">
        <v>0</v>
      </c>
    </row>
    <row r="18" spans="1:24" s="1293" customFormat="1" ht="15" hidden="1" customHeight="1">
      <c r="C18" s="609"/>
      <c r="W18" s="357"/>
      <c r="X18" s="354">
        <v>0</v>
      </c>
    </row>
    <row r="19" spans="1:24" s="1293" customFormat="1" ht="15" hidden="1" customHeight="1">
      <c r="C19" s="609"/>
      <c r="W19" s="357"/>
      <c r="X19" s="354">
        <v>0</v>
      </c>
    </row>
    <row r="20" spans="1:24" s="1293" customFormat="1" ht="15" hidden="1" customHeight="1">
      <c r="C20" s="609"/>
      <c r="W20" s="357"/>
      <c r="X20" s="354">
        <v>0</v>
      </c>
    </row>
    <row r="21" spans="1:24" ht="15.75" customHeight="1">
      <c r="C21" s="113"/>
      <c r="D21" s="446"/>
      <c r="E21" s="446"/>
      <c r="F21" s="446"/>
      <c r="G21" s="446"/>
      <c r="H21" s="446"/>
      <c r="I21" s="446"/>
      <c r="J21" s="446"/>
      <c r="X21" s="442">
        <v>15</v>
      </c>
    </row>
    <row r="22" spans="1:24" ht="23.25" customHeight="1">
      <c r="C22" s="113"/>
      <c r="D22" s="220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00"/>
      <c r="F22" s="2200"/>
      <c r="G22" s="2200"/>
      <c r="H22" s="2200"/>
      <c r="I22" s="2200"/>
      <c r="J22" s="613"/>
      <c r="K22" s="2004"/>
      <c r="L22" s="2004"/>
      <c r="M22" s="474"/>
      <c r="X22" s="442">
        <v>22</v>
      </c>
    </row>
    <row r="23" spans="1:24" ht="15.75" customHeight="1">
      <c r="C23" s="113"/>
      <c r="D23" s="2172" t="str">
        <f>IF(org=0,"Не определено",org)</f>
        <v>МУП "Михайловское водопроводно-канализационное хозяйство"</v>
      </c>
      <c r="E23" s="2172"/>
      <c r="F23" s="2172"/>
      <c r="G23" s="2172"/>
      <c r="H23" s="2172"/>
      <c r="I23" s="2172"/>
      <c r="J23" s="613"/>
      <c r="K23" s="2005"/>
      <c r="L23" s="2005"/>
      <c r="M23" s="474"/>
      <c r="X23" s="442">
        <v>15</v>
      </c>
    </row>
    <row r="24" spans="1:24" ht="15.75" customHeight="1">
      <c r="C24" s="113"/>
      <c r="D24" s="446"/>
      <c r="E24" s="446"/>
      <c r="F24" s="446"/>
      <c r="G24" s="474">
        <v>22</v>
      </c>
      <c r="H24" s="689"/>
      <c r="I24" s="474">
        <v>22</v>
      </c>
      <c r="J24" s="689"/>
      <c r="K24" s="1293" t="s">
        <v>22</v>
      </c>
      <c r="L24" s="689"/>
      <c r="X24" s="442">
        <v>15</v>
      </c>
    </row>
    <row r="25" spans="1:24" s="1562" customFormat="1" ht="1.1499999999999999" customHeight="1">
      <c r="A25" s="694"/>
      <c r="C25" s="113"/>
      <c r="D25" s="446"/>
      <c r="E25" s="446"/>
      <c r="F25" s="446"/>
      <c r="G25" s="474"/>
      <c r="H25" s="689"/>
      <c r="I25" s="474" t="s">
        <v>117</v>
      </c>
      <c r="J25" s="689"/>
      <c r="K25" s="1293" t="s">
        <v>122</v>
      </c>
      <c r="L25" s="689"/>
      <c r="M25" s="354"/>
      <c r="W25" s="612"/>
      <c r="X25" s="693">
        <v>1</v>
      </c>
    </row>
    <row r="26" spans="1:24" ht="15.75" customHeight="1">
      <c r="C26" s="113"/>
      <c r="D26" s="648"/>
      <c r="E26" s="2306" t="s">
        <v>104</v>
      </c>
      <c r="F26" s="2307"/>
      <c r="G26" s="2334" t="str">
        <f>IF(G25="","",INDEX(DIFFERENTIATION_UNMERGE_VD,MATCH(G25,DIFFERENTIATION_ID_DIFF,0)))</f>
        <v/>
      </c>
      <c r="H26" s="2335"/>
      <c r="I26" s="2334" t="str">
        <f>IF(I25="","",INDEX(DIFFERENTIATION_UNMERGE_VD,MATCH(I25,DIFFERENTIATION_ID_DIFF,0)))</f>
        <v>Подключение (технологическое присоединение) к централизованной системе водоснабжения</v>
      </c>
      <c r="J26" s="2335"/>
      <c r="K26" s="2334" t="str">
        <f>IF(K25="","",INDEX(DIFFERENTIATION_UNMERGE_VD,MATCH(K25,DIFFERENTIATION_ID_DIFF,0)))</f>
        <v>Подключение (технологическое присоединение) к централизованной системе водоснабжения</v>
      </c>
      <c r="L26" s="2335"/>
      <c r="M26" s="2150" t="s">
        <v>303</v>
      </c>
      <c r="X26" s="442">
        <v>15</v>
      </c>
    </row>
    <row r="27" spans="1:24" s="1562" customFormat="1" ht="15.75" customHeight="1">
      <c r="A27" s="694"/>
      <c r="C27" s="113"/>
      <c r="D27" s="648"/>
      <c r="E27" s="2306" t="s">
        <v>566</v>
      </c>
      <c r="F27" s="2307"/>
      <c r="G27" s="2334" t="str">
        <f>IF(G25="","",INDEX(DIFFERENTIATION_UNMERGE_AREA,MATCH(G25,DIFFERENTIATION_ID_DIFF,0)))</f>
        <v/>
      </c>
      <c r="H27" s="2335"/>
      <c r="I27" s="2334" t="str">
        <f>IF(I25="","",INDEX(DIFFERENTIATION_UNMERGE_AREA,MATCH(I25,DIFFERENTIATION_ID_DIFF,0)))</f>
        <v>без дифференциации</v>
      </c>
      <c r="J27" s="2335"/>
      <c r="K27" s="2334" t="str">
        <f>IF(K25="","",INDEX(DIFFERENTIATION_UNMERGE_AREA,MATCH(K25,DIFFERENTIATION_ID_DIFF,0)))</f>
        <v>без дифференциации</v>
      </c>
      <c r="L27" s="2335"/>
      <c r="M27" s="2154"/>
      <c r="W27" s="612"/>
      <c r="X27" s="693">
        <v>15</v>
      </c>
    </row>
    <row r="28" spans="1:24" s="1562" customFormat="1" ht="15.75" customHeight="1">
      <c r="A28" s="694"/>
      <c r="C28" s="113"/>
      <c r="D28" s="648"/>
      <c r="E28" s="2306" t="s">
        <v>567</v>
      </c>
      <c r="F28" s="2307"/>
      <c r="G28" s="2334" t="str">
        <f>IF(G25="","",INDEX(DIFFERENTIATION_UNMERGE_SYSTEM,MATCH(G25,DIFFERENTIATION_ID_DIFF,0)))</f>
        <v/>
      </c>
      <c r="H28" s="2335"/>
      <c r="I28" s="2334" t="str">
        <f>IF(I25="","",INDEX(DIFFERENTIATION_UNMERGE_SYSTEM,MATCH(I25,DIFFERENTIATION_ID_DIFF,0)))</f>
        <v>Централизованная система водоснабжения (питьевая вода)</v>
      </c>
      <c r="J28" s="2335"/>
      <c r="K28" s="2334" t="str">
        <f>IF(K25="","",INDEX(DIFFERENTIATION_UNMERGE_SYSTEM,MATCH(K25,DIFFERENTIATION_ID_DIFF,0)))</f>
        <v>Централизованная система водоснабжения (техническая вода)</v>
      </c>
      <c r="L28" s="2335"/>
      <c r="M28" s="2154"/>
      <c r="W28" s="612"/>
      <c r="X28" s="693">
        <v>15</v>
      </c>
    </row>
    <row r="29" spans="1:24" s="1562" customFormat="1" ht="15.75" customHeight="1">
      <c r="A29" s="694"/>
      <c r="C29" s="113"/>
      <c r="D29" s="2308" t="s">
        <v>302</v>
      </c>
      <c r="E29" s="2309"/>
      <c r="F29" s="2309"/>
      <c r="G29" s="817"/>
      <c r="H29" s="817"/>
      <c r="I29" s="817"/>
      <c r="J29" s="818"/>
      <c r="K29" s="2013"/>
      <c r="L29" s="2013"/>
      <c r="M29" s="2154"/>
      <c r="W29" s="612"/>
      <c r="X29" s="693">
        <v>15</v>
      </c>
    </row>
    <row r="30" spans="1:24" ht="35.65" customHeight="1">
      <c r="C30" s="113"/>
      <c r="D30" s="696" t="s">
        <v>87</v>
      </c>
      <c r="E30" s="695" t="s">
        <v>304</v>
      </c>
      <c r="F30" s="695" t="s">
        <v>568</v>
      </c>
      <c r="G30" s="739" t="s">
        <v>305</v>
      </c>
      <c r="H30" s="738" t="s">
        <v>392</v>
      </c>
      <c r="I30" s="621" t="s">
        <v>305</v>
      </c>
      <c r="J30" s="402" t="s">
        <v>392</v>
      </c>
      <c r="K30" s="2007" t="s">
        <v>305</v>
      </c>
      <c r="L30" s="2011" t="s">
        <v>392</v>
      </c>
      <c r="M30" s="2157"/>
      <c r="X30" s="442">
        <v>34</v>
      </c>
    </row>
    <row r="31" spans="1:24" ht="15" hidden="1" customHeight="1">
      <c r="C31" s="113"/>
      <c r="D31" s="530"/>
      <c r="E31" s="530"/>
      <c r="F31" s="530"/>
      <c r="G31" s="596"/>
      <c r="H31" s="596"/>
      <c r="I31" s="596"/>
      <c r="J31" s="596"/>
      <c r="K31" s="620"/>
      <c r="L31" s="620"/>
      <c r="M31" s="226"/>
      <c r="X31" s="442">
        <v>0</v>
      </c>
    </row>
    <row r="32" spans="1:24" ht="24" customHeight="1">
      <c r="A32" s="442"/>
      <c r="B32" s="442" t="s">
        <v>953</v>
      </c>
      <c r="C32" s="463"/>
      <c r="D32" s="629">
        <v>1</v>
      </c>
      <c r="E32" s="630" t="s">
        <v>954</v>
      </c>
      <c r="F32" s="628" t="s">
        <v>308</v>
      </c>
      <c r="G32" s="744" t="s">
        <v>308</v>
      </c>
      <c r="H32" s="744" t="s">
        <v>308</v>
      </c>
      <c r="I32" s="628" t="s">
        <v>308</v>
      </c>
      <c r="J32" s="628" t="s">
        <v>308</v>
      </c>
      <c r="K32" s="2008" t="s">
        <v>308</v>
      </c>
      <c r="L32" s="2008" t="s">
        <v>308</v>
      </c>
      <c r="M32" s="226"/>
      <c r="X32" s="442">
        <v>23</v>
      </c>
    </row>
    <row r="33" spans="1:24" ht="11.45" customHeight="1">
      <c r="A33" s="442"/>
      <c r="C33" s="442"/>
      <c r="D33" s="284"/>
      <c r="E33" s="517" t="s">
        <v>588</v>
      </c>
      <c r="F33" s="509"/>
      <c r="G33" s="509"/>
      <c r="H33" s="509"/>
      <c r="I33" s="509"/>
      <c r="J33" s="509"/>
      <c r="K33" s="2046"/>
      <c r="L33" s="2047"/>
      <c r="M33" s="510"/>
      <c r="W33" s="442"/>
      <c r="X33" s="442">
        <v>11</v>
      </c>
    </row>
    <row r="34" spans="1:24" ht="24" customHeight="1">
      <c r="A34" s="442"/>
      <c r="B34" s="518" t="s">
        <v>639</v>
      </c>
      <c r="C34" s="463"/>
      <c r="D34" s="629">
        <v>2</v>
      </c>
      <c r="E34" s="630" t="s">
        <v>955</v>
      </c>
      <c r="F34" s="751" t="s">
        <v>308</v>
      </c>
      <c r="G34" s="751" t="s">
        <v>308</v>
      </c>
      <c r="H34" s="751" t="s">
        <v>308</v>
      </c>
      <c r="I34" s="628"/>
      <c r="J34" s="628"/>
      <c r="K34" s="2008" t="s">
        <v>308</v>
      </c>
      <c r="L34" s="2008" t="s">
        <v>308</v>
      </c>
      <c r="M34" s="226"/>
      <c r="X34" s="442">
        <v>23</v>
      </c>
    </row>
    <row r="35" spans="1:24" ht="11.45" customHeight="1">
      <c r="A35" s="442"/>
      <c r="C35" s="442"/>
      <c r="D35" s="284"/>
      <c r="E35" s="517" t="s">
        <v>956</v>
      </c>
      <c r="F35" s="509"/>
      <c r="G35" s="631"/>
      <c r="H35" s="509"/>
      <c r="I35" s="631"/>
      <c r="J35" s="509"/>
      <c r="K35" s="2048"/>
      <c r="L35" s="2049"/>
      <c r="M35" s="510"/>
      <c r="W35" s="442"/>
      <c r="X35" s="442">
        <v>11</v>
      </c>
    </row>
    <row r="36" spans="1:24" ht="71.25" customHeight="1">
      <c r="A36" s="442"/>
      <c r="B36" s="442" t="s">
        <v>957</v>
      </c>
      <c r="C36" s="463"/>
      <c r="D36" s="629">
        <v>3</v>
      </c>
      <c r="E36" s="630" t="s">
        <v>958</v>
      </c>
      <c r="F36" s="632" t="s">
        <v>308</v>
      </c>
      <c r="G36" s="745" t="s">
        <v>959</v>
      </c>
      <c r="H36" s="744" t="s">
        <v>308</v>
      </c>
      <c r="I36" s="461" t="s">
        <v>959</v>
      </c>
      <c r="J36" s="628" t="s">
        <v>308</v>
      </c>
      <c r="K36" s="2001" t="s">
        <v>959</v>
      </c>
      <c r="L36" s="2008" t="s">
        <v>308</v>
      </c>
      <c r="M36" s="226" t="s">
        <v>960</v>
      </c>
      <c r="X36" s="442">
        <v>68</v>
      </c>
    </row>
    <row r="37" spans="1:24" ht="11.45" customHeight="1">
      <c r="A37" s="442"/>
      <c r="C37" s="442"/>
      <c r="D37" s="284"/>
      <c r="E37" s="517" t="s">
        <v>961</v>
      </c>
      <c r="F37" s="509"/>
      <c r="G37" s="631"/>
      <c r="H37" s="631"/>
      <c r="I37" s="631"/>
      <c r="J37" s="631"/>
      <c r="K37" s="2050"/>
      <c r="L37" s="2051"/>
      <c r="M37" s="510"/>
      <c r="W37" s="442"/>
      <c r="X37" s="442">
        <v>11</v>
      </c>
    </row>
    <row r="38" spans="1:24" ht="71.25" customHeight="1">
      <c r="A38" s="442"/>
      <c r="B38" s="442" t="s">
        <v>962</v>
      </c>
      <c r="C38" s="463"/>
      <c r="D38" s="629">
        <v>4</v>
      </c>
      <c r="E38" s="630" t="s">
        <v>963</v>
      </c>
      <c r="F38" s="632" t="s">
        <v>308</v>
      </c>
      <c r="G38" s="745" t="s">
        <v>959</v>
      </c>
      <c r="H38" s="746" t="s">
        <v>308</v>
      </c>
      <c r="I38" s="461" t="s">
        <v>959</v>
      </c>
      <c r="J38" s="458" t="s">
        <v>308</v>
      </c>
      <c r="K38" s="2001" t="s">
        <v>959</v>
      </c>
      <c r="L38" s="2011" t="s">
        <v>308</v>
      </c>
      <c r="M38" s="616" t="s">
        <v>964</v>
      </c>
      <c r="X38" s="442">
        <v>68</v>
      </c>
    </row>
    <row r="39" spans="1:24" ht="11.45" customHeight="1">
      <c r="A39" s="442"/>
      <c r="C39" s="442"/>
      <c r="D39" s="284"/>
      <c r="E39" s="517" t="s">
        <v>965</v>
      </c>
      <c r="F39" s="509"/>
      <c r="G39" s="509"/>
      <c r="H39" s="633"/>
      <c r="I39" s="509"/>
      <c r="J39" s="633"/>
      <c r="K39" s="2052"/>
      <c r="L39" s="2053"/>
      <c r="M39" s="510"/>
      <c r="W39" s="442"/>
      <c r="X39" s="442">
        <v>11</v>
      </c>
    </row>
    <row r="40" spans="1:24" ht="22.5" hidden="1" customHeight="1">
      <c r="A40" s="386" t="s">
        <v>81</v>
      </c>
      <c r="B40" s="442">
        <v>0</v>
      </c>
      <c r="C40" s="620">
        <v>4</v>
      </c>
      <c r="D40" s="442">
        <v>6</v>
      </c>
      <c r="E40" s="442">
        <v>36</v>
      </c>
      <c r="F40" s="442">
        <v>9</v>
      </c>
      <c r="G40" s="693">
        <v>0</v>
      </c>
      <c r="H40" s="693">
        <v>0</v>
      </c>
      <c r="I40" s="442">
        <v>25</v>
      </c>
      <c r="J40" s="442">
        <v>33</v>
      </c>
      <c r="K40" s="1562">
        <v>0</v>
      </c>
      <c r="L40" s="1562">
        <v>0</v>
      </c>
      <c r="M40" s="354">
        <v>93</v>
      </c>
      <c r="N40" s="442">
        <v>10</v>
      </c>
      <c r="O40" s="442">
        <v>10</v>
      </c>
      <c r="P40" s="442">
        <v>10</v>
      </c>
      <c r="Q40" s="442">
        <v>10</v>
      </c>
      <c r="R40" s="442">
        <v>10</v>
      </c>
      <c r="S40" s="442">
        <v>10</v>
      </c>
      <c r="T40" s="442">
        <v>10</v>
      </c>
      <c r="U40" s="442">
        <v>10</v>
      </c>
      <c r="V40" s="442">
        <v>10</v>
      </c>
      <c r="W40" s="612">
        <v>10</v>
      </c>
      <c r="X40" s="442">
        <v>23</v>
      </c>
    </row>
  </sheetData>
  <sheetProtection formatColumns="0" formatRows="0" insertRows="0" deleteColumns="0" deleteRows="0" sort="0" autoFilter="0"/>
  <mergeCells count="24">
    <mergeCell ref="G28:H28"/>
    <mergeCell ref="M26:M30"/>
    <mergeCell ref="E27:F27"/>
    <mergeCell ref="E28:F28"/>
    <mergeCell ref="I27:J27"/>
    <mergeCell ref="I28:J28"/>
    <mergeCell ref="G26:H26"/>
    <mergeCell ref="G27:H27"/>
    <mergeCell ref="D29:F29"/>
    <mergeCell ref="K28:L28"/>
    <mergeCell ref="K26:L26"/>
    <mergeCell ref="K27:L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966</v>
      </c>
      <c r="H3" s="1083"/>
      <c r="AE3" s="694">
        <v>0</v>
      </c>
    </row>
    <row r="4" spans="1:31" ht="3" customHeight="1">
      <c r="AE4" s="693">
        <v>3</v>
      </c>
    </row>
    <row r="5" spans="1:31" ht="27.4" customHeight="1">
      <c r="F5" s="2200" t="str">
        <f>IP_NAME_FORM</f>
        <v>Форма 7. Информация об инвестиционных программах организации холодного водоснабжения и отчетах об их исполнении</v>
      </c>
      <c r="G5" s="2200"/>
      <c r="H5" s="2200"/>
      <c r="I5" s="2200"/>
      <c r="J5" s="2200"/>
      <c r="K5" s="2200"/>
      <c r="M5" s="519"/>
      <c r="AB5" s="836"/>
      <c r="AE5" s="693">
        <v>26</v>
      </c>
    </row>
    <row r="6" spans="1:31" s="1562" customFormat="1" ht="16.899999999999999" customHeight="1">
      <c r="A6" s="1093"/>
      <c r="B6" s="1093"/>
      <c r="C6" s="1093"/>
      <c r="D6" s="1087"/>
      <c r="F6" s="2172" t="str">
        <f>IF(org=0,"Не определено",org)</f>
        <v>МУП "Михайловское водопроводно-канализационное хозяйство"</v>
      </c>
      <c r="G6" s="2172"/>
      <c r="H6" s="2172"/>
      <c r="I6" s="2172"/>
      <c r="J6" s="2172"/>
      <c r="K6" s="2172"/>
      <c r="M6" s="519"/>
      <c r="AB6" s="1075"/>
      <c r="AE6" s="1558">
        <v>16</v>
      </c>
    </row>
    <row r="7" spans="1:31" ht="10.5" customHeight="1">
      <c r="AE7" s="693">
        <v>10</v>
      </c>
    </row>
    <row r="8" spans="1:31" ht="10.5" customHeight="1">
      <c r="A8" s="981"/>
      <c r="B8" s="981"/>
      <c r="C8" s="981"/>
      <c r="F8" s="2073" t="s">
        <v>302</v>
      </c>
      <c r="G8" s="2078"/>
      <c r="H8" s="2078"/>
      <c r="I8" s="2078"/>
      <c r="J8" s="2078"/>
      <c r="K8" s="2078"/>
      <c r="L8" s="2078"/>
      <c r="M8" s="2078"/>
      <c r="N8" s="2078"/>
      <c r="O8" s="2078"/>
      <c r="P8" s="2078"/>
      <c r="Q8" s="2078"/>
      <c r="R8" s="2078"/>
      <c r="S8" s="2078"/>
      <c r="T8" s="2078"/>
      <c r="U8" s="2078"/>
      <c r="V8" s="2078"/>
      <c r="W8" s="2078"/>
      <c r="X8" s="2078"/>
      <c r="Y8" s="2078"/>
      <c r="Z8" s="2078"/>
      <c r="AA8" s="2078"/>
      <c r="AB8" s="2072"/>
      <c r="AE8" s="693">
        <v>10</v>
      </c>
    </row>
    <row r="9" spans="1:31" ht="43.15" customHeight="1">
      <c r="A9" s="835"/>
      <c r="B9" s="835"/>
      <c r="C9" s="835"/>
      <c r="F9" s="2091" t="s">
        <v>87</v>
      </c>
      <c r="G9" s="2091" t="s">
        <v>966</v>
      </c>
      <c r="H9" s="2150" t="s">
        <v>967</v>
      </c>
      <c r="I9" s="2091" t="s">
        <v>968</v>
      </c>
      <c r="J9" s="2091" t="s">
        <v>969</v>
      </c>
      <c r="K9" s="2091" t="s">
        <v>970</v>
      </c>
      <c r="L9" s="2091" t="s">
        <v>971</v>
      </c>
      <c r="M9" s="2091" t="s">
        <v>972</v>
      </c>
      <c r="N9" s="2180" t="s">
        <v>973</v>
      </c>
      <c r="O9" s="2180"/>
      <c r="P9" s="2180"/>
      <c r="Q9" s="2233" t="s">
        <v>974</v>
      </c>
      <c r="R9" s="2234"/>
      <c r="S9" s="2234"/>
      <c r="T9" s="2235"/>
      <c r="U9" s="2233" t="s">
        <v>975</v>
      </c>
      <c r="V9" s="2234"/>
      <c r="W9" s="2234"/>
      <c r="X9" s="2235"/>
      <c r="Y9" s="2073" t="s">
        <v>976</v>
      </c>
      <c r="Z9" s="2078"/>
      <c r="AA9" s="2078"/>
      <c r="AB9" s="2072"/>
      <c r="AE9" s="693">
        <v>41</v>
      </c>
    </row>
    <row r="10" spans="1:31" ht="43.15" customHeight="1">
      <c r="A10" s="835"/>
      <c r="B10" s="835"/>
      <c r="C10" s="835"/>
      <c r="F10" s="2150"/>
      <c r="G10" s="2150"/>
      <c r="H10" s="2205"/>
      <c r="I10" s="2150"/>
      <c r="J10" s="2150"/>
      <c r="K10" s="2150"/>
      <c r="L10" s="2150"/>
      <c r="M10" s="2150"/>
      <c r="N10" s="833" t="s">
        <v>977</v>
      </c>
      <c r="O10" s="833" t="s">
        <v>978</v>
      </c>
      <c r="P10" s="834" t="s">
        <v>979</v>
      </c>
      <c r="Q10" s="845" t="s">
        <v>88</v>
      </c>
      <c r="R10" s="845" t="s">
        <v>980</v>
      </c>
      <c r="S10" s="845" t="s">
        <v>981</v>
      </c>
      <c r="T10" s="846" t="s">
        <v>982</v>
      </c>
      <c r="U10" s="845" t="s">
        <v>88</v>
      </c>
      <c r="V10" s="845" t="s">
        <v>983</v>
      </c>
      <c r="W10" s="845" t="s">
        <v>981</v>
      </c>
      <c r="X10" s="846" t="s">
        <v>982</v>
      </c>
      <c r="Y10" s="238" t="s">
        <v>984</v>
      </c>
      <c r="Z10" s="2073" t="s">
        <v>87</v>
      </c>
      <c r="AA10" s="2072"/>
      <c r="AB10" s="979" t="s">
        <v>985</v>
      </c>
      <c r="AE10" s="693">
        <v>41</v>
      </c>
    </row>
    <row r="11" spans="1:31" s="1569" customFormat="1" ht="5.25" hidden="1" customHeight="1">
      <c r="A11" s="982"/>
      <c r="B11" s="982"/>
      <c r="C11" s="982"/>
      <c r="E11" s="980"/>
      <c r="F11" s="2338" t="s">
        <v>378</v>
      </c>
      <c r="G11" s="2340"/>
      <c r="H11" s="2336"/>
      <c r="I11" s="2336"/>
      <c r="J11" s="2336"/>
      <c r="K11" s="2339"/>
      <c r="L11" s="2339"/>
      <c r="M11" s="2339"/>
      <c r="N11" s="2336"/>
      <c r="O11" s="2336"/>
      <c r="P11" s="2091"/>
      <c r="Q11" s="2160"/>
      <c r="R11" s="2160"/>
      <c r="S11" s="2160"/>
      <c r="T11" s="2336"/>
      <c r="U11" s="2160"/>
      <c r="V11" s="2160"/>
      <c r="W11" s="2160"/>
      <c r="X11" s="2336"/>
      <c r="Y11" s="2103"/>
      <c r="Z11" s="2103"/>
      <c r="AA11" s="2103"/>
      <c r="AB11" s="2103"/>
      <c r="AD11" s="448" t="s">
        <v>986</v>
      </c>
      <c r="AE11" s="448">
        <v>0</v>
      </c>
    </row>
    <row r="12" spans="1:31" s="1569" customFormat="1" ht="5.25" hidden="1" customHeight="1">
      <c r="A12" s="826"/>
      <c r="B12" s="826"/>
      <c r="C12" s="826"/>
      <c r="E12" s="455"/>
      <c r="F12" s="2338"/>
      <c r="G12" s="2340"/>
      <c r="H12" s="2336"/>
      <c r="I12" s="2336"/>
      <c r="J12" s="2336"/>
      <c r="K12" s="2339"/>
      <c r="L12" s="2339"/>
      <c r="M12" s="2339"/>
      <c r="N12" s="2336"/>
      <c r="O12" s="2336"/>
      <c r="P12" s="2091"/>
      <c r="Q12" s="2160"/>
      <c r="R12" s="2160"/>
      <c r="S12" s="2160"/>
      <c r="T12" s="2336"/>
      <c r="U12" s="2160"/>
      <c r="V12" s="2160"/>
      <c r="W12" s="2160"/>
      <c r="X12" s="2336"/>
      <c r="Y12" s="2337"/>
      <c r="Z12" s="2337"/>
      <c r="AA12" s="2337"/>
      <c r="AB12" s="2337"/>
      <c r="AE12" s="448">
        <v>0</v>
      </c>
    </row>
    <row r="13" spans="1:31" ht="10.5" customHeight="1">
      <c r="F13" s="832"/>
      <c r="G13" s="587" t="s">
        <v>987</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00" t="str">
        <f>IP_NAME_FORM</f>
        <v>Форма 7. Информация об инвестиционных программах организации холодного водоснабжения и отчетах об их исполнении</v>
      </c>
      <c r="G5" s="2200"/>
      <c r="H5" s="2200"/>
      <c r="I5" s="2200"/>
      <c r="J5" s="2200"/>
      <c r="K5" s="2200"/>
      <c r="L5" s="1062"/>
      <c r="M5" s="1062"/>
      <c r="AG5" s="836"/>
      <c r="AH5" s="1075"/>
      <c r="BG5" s="693">
        <v>26</v>
      </c>
    </row>
    <row r="6" spans="1:59" ht="10.5" customHeight="1">
      <c r="F6" s="2172" t="str">
        <f>IF(org=0,"Не определено",org)</f>
        <v>МУП "Михайловское водопроводно-канализационное хозяйство"</v>
      </c>
      <c r="G6" s="2172"/>
      <c r="H6" s="2172"/>
      <c r="I6" s="2172"/>
      <c r="J6" s="2172"/>
      <c r="K6" s="217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43" t="s">
        <v>302</v>
      </c>
      <c r="G8" s="2344"/>
      <c r="H8" s="2344"/>
      <c r="I8" s="2344"/>
      <c r="J8" s="2344"/>
      <c r="K8" s="2344"/>
      <c r="L8" s="2344"/>
      <c r="M8" s="2344"/>
      <c r="N8" s="2344"/>
      <c r="O8" s="2344"/>
      <c r="P8" s="2344"/>
      <c r="Q8" s="2344"/>
      <c r="R8" s="2344"/>
      <c r="S8" s="2344"/>
      <c r="T8" s="2344"/>
      <c r="U8" s="2344"/>
      <c r="V8" s="2344"/>
      <c r="W8" s="2344"/>
      <c r="X8" s="2344"/>
      <c r="Y8" s="2344"/>
      <c r="Z8" s="2344"/>
      <c r="AA8" s="2344"/>
      <c r="AB8" s="2344"/>
      <c r="AC8" s="2344"/>
      <c r="AD8" s="2344"/>
      <c r="AE8" s="2344"/>
      <c r="AF8" s="2344"/>
      <c r="AG8" s="2344"/>
      <c r="AH8" s="2344"/>
      <c r="AI8" s="2344"/>
      <c r="AJ8" s="2344"/>
      <c r="AK8" s="234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80" t="s">
        <v>988</v>
      </c>
      <c r="G9" s="2281" t="s">
        <v>989</v>
      </c>
      <c r="H9" s="2325"/>
      <c r="I9" s="2091" t="s">
        <v>990</v>
      </c>
      <c r="J9" s="2091"/>
      <c r="K9" s="2091" t="s">
        <v>991</v>
      </c>
      <c r="L9" s="2091"/>
      <c r="M9" s="2091"/>
      <c r="N9" s="2091"/>
      <c r="O9" s="2091"/>
      <c r="P9" s="2091"/>
      <c r="Q9" s="2091"/>
      <c r="R9" s="2091"/>
      <c r="S9" s="2091"/>
      <c r="T9" s="2091"/>
      <c r="U9" s="2091"/>
      <c r="V9" s="2091"/>
      <c r="W9" s="2091"/>
      <c r="X9" s="2091"/>
      <c r="Y9" s="2091"/>
      <c r="Z9" s="2151" t="s">
        <v>992</v>
      </c>
      <c r="AA9" s="2152"/>
      <c r="AB9" s="2091" t="s">
        <v>993</v>
      </c>
      <c r="AC9" s="2091"/>
      <c r="AD9" s="2091"/>
      <c r="AE9" s="2091"/>
      <c r="AF9" s="2150" t="s">
        <v>994</v>
      </c>
      <c r="AG9" s="2091" t="s">
        <v>995</v>
      </c>
      <c r="AH9" s="2091"/>
      <c r="AI9" s="2150" t="s">
        <v>996</v>
      </c>
      <c r="AJ9" s="2091" t="s">
        <v>997</v>
      </c>
      <c r="AK9" s="209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80"/>
      <c r="G10" s="2282"/>
      <c r="H10" s="2184"/>
      <c r="I10" s="2091"/>
      <c r="J10" s="2091"/>
      <c r="K10" s="2091" t="s">
        <v>998</v>
      </c>
      <c r="L10" s="2073" t="s">
        <v>999</v>
      </c>
      <c r="M10" s="2072"/>
      <c r="N10" s="2091" t="s">
        <v>1000</v>
      </c>
      <c r="O10" s="2091"/>
      <c r="P10" s="2091"/>
      <c r="Q10" s="2091"/>
      <c r="R10" s="2091"/>
      <c r="S10" s="2091"/>
      <c r="T10" s="2091"/>
      <c r="U10" s="2091"/>
      <c r="V10" s="2091"/>
      <c r="W10" s="2091"/>
      <c r="X10" s="2091"/>
      <c r="Y10" s="2091"/>
      <c r="Z10" s="2153"/>
      <c r="AA10" s="2154"/>
      <c r="AB10" s="2091"/>
      <c r="AC10" s="2091"/>
      <c r="AD10" s="2091"/>
      <c r="AE10" s="2091"/>
      <c r="AF10" s="2155"/>
      <c r="AG10" s="2091"/>
      <c r="AH10" s="2091"/>
      <c r="AI10" s="2155"/>
      <c r="AJ10" s="2091"/>
      <c r="AK10" s="209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80"/>
      <c r="G11" s="2282"/>
      <c r="H11" s="2184"/>
      <c r="I11" s="2091"/>
      <c r="J11" s="2091"/>
      <c r="K11" s="2091"/>
      <c r="L11" s="2150" t="s">
        <v>1001</v>
      </c>
      <c r="M11" s="2150" t="s">
        <v>1002</v>
      </c>
      <c r="N11" s="2091" t="s">
        <v>1003</v>
      </c>
      <c r="O11" s="2091"/>
      <c r="P11" s="2148" t="s">
        <v>984</v>
      </c>
      <c r="Q11" s="2148" t="s">
        <v>1004</v>
      </c>
      <c r="R11" s="2148" t="s">
        <v>1005</v>
      </c>
      <c r="S11" s="2148" t="s">
        <v>1006</v>
      </c>
      <c r="T11" s="2148"/>
      <c r="U11" s="2148"/>
      <c r="V11" s="2148"/>
      <c r="W11" s="2148"/>
      <c r="X11" s="2148"/>
      <c r="Y11" s="2148"/>
      <c r="Z11" s="2153"/>
      <c r="AA11" s="2154"/>
      <c r="AB11" s="2091" t="s">
        <v>1007</v>
      </c>
      <c r="AC11" s="2091"/>
      <c r="AD11" s="2073" t="s">
        <v>1008</v>
      </c>
      <c r="AE11" s="2072"/>
      <c r="AF11" s="2155"/>
      <c r="AG11" s="2091"/>
      <c r="AH11" s="2091"/>
      <c r="AI11" s="2155"/>
      <c r="AJ11" s="2091"/>
      <c r="AK11" s="209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80"/>
      <c r="G12" s="2283"/>
      <c r="H12" s="2342"/>
      <c r="I12" s="1080" t="s">
        <v>88</v>
      </c>
      <c r="J12" s="1080" t="s">
        <v>1009</v>
      </c>
      <c r="K12" s="2091"/>
      <c r="L12" s="2205"/>
      <c r="M12" s="2205"/>
      <c r="N12" s="2091"/>
      <c r="O12" s="2091"/>
      <c r="P12" s="2148"/>
      <c r="Q12" s="2148"/>
      <c r="R12" s="2148"/>
      <c r="S12" s="1061" t="s">
        <v>85</v>
      </c>
      <c r="T12" s="1061" t="s">
        <v>86</v>
      </c>
      <c r="U12" s="1061" t="s">
        <v>84</v>
      </c>
      <c r="V12" s="1061" t="s">
        <v>1010</v>
      </c>
      <c r="W12" s="1061" t="s">
        <v>84</v>
      </c>
      <c r="X12" s="1061" t="s">
        <v>1011</v>
      </c>
      <c r="Y12" s="1061" t="s">
        <v>1012</v>
      </c>
      <c r="Z12" s="2156"/>
      <c r="AA12" s="2157"/>
      <c r="AB12" s="1068" t="s">
        <v>1013</v>
      </c>
      <c r="AC12" s="1068" t="s">
        <v>1014</v>
      </c>
      <c r="AD12" s="1068" t="s">
        <v>1013</v>
      </c>
      <c r="AE12" s="1068" t="s">
        <v>1014</v>
      </c>
      <c r="AF12" s="2205"/>
      <c r="AG12" s="1081" t="s">
        <v>1015</v>
      </c>
      <c r="AH12" s="1081" t="s">
        <v>1016</v>
      </c>
      <c r="AI12" s="2205"/>
      <c r="AJ12" s="1081" t="s">
        <v>1015</v>
      </c>
      <c r="AK12" s="1081" t="s">
        <v>1016</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1017</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41"/>
      <c r="G17" s="2341"/>
      <c r="H17" s="2341"/>
      <c r="I17" s="2341"/>
      <c r="J17" s="234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41"/>
      <c r="G18" s="2341"/>
      <c r="H18" s="2341"/>
      <c r="I18" s="2341"/>
      <c r="J18" s="234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41"/>
      <c r="G19" s="2341"/>
      <c r="H19" s="2341"/>
      <c r="I19" s="2341"/>
      <c r="J19" s="234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0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00"/>
      <c r="H5" s="2200"/>
      <c r="I5" s="2200"/>
      <c r="J5" s="2200"/>
      <c r="W5" s="1082">
        <v>26</v>
      </c>
    </row>
    <row r="6" spans="1:23" ht="10.5" customHeight="1">
      <c r="F6" s="2172" t="str">
        <f>IF(org=0,"Не определено",org)</f>
        <v>МУП "Михайловское водопроводно-канализационное хозяйство"</v>
      </c>
      <c r="G6" s="2172"/>
      <c r="H6" s="2172"/>
      <c r="I6" s="2172"/>
      <c r="J6" s="217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46" t="s">
        <v>302</v>
      </c>
      <c r="G9" s="2347"/>
      <c r="H9" s="2347"/>
      <c r="I9" s="2347"/>
      <c r="J9" s="2347"/>
      <c r="K9" s="1167"/>
      <c r="L9" s="1084"/>
      <c r="M9" s="1084"/>
      <c r="N9" s="1084"/>
      <c r="O9" s="1084"/>
      <c r="P9" s="1084"/>
      <c r="Q9" s="1084"/>
      <c r="R9" s="1084"/>
      <c r="S9" s="1084"/>
      <c r="T9" s="1084"/>
      <c r="U9" s="1084"/>
      <c r="V9" s="1084"/>
      <c r="W9" s="1082">
        <v>10</v>
      </c>
    </row>
    <row r="10" spans="1:23" ht="25.15" customHeight="1">
      <c r="E10" s="1084"/>
      <c r="F10" s="2350" t="s">
        <v>87</v>
      </c>
      <c r="G10" s="2354" t="s">
        <v>1018</v>
      </c>
      <c r="H10" s="2336" t="s">
        <v>1019</v>
      </c>
      <c r="I10" s="2336"/>
      <c r="J10" s="2336"/>
      <c r="K10" s="1160"/>
      <c r="L10" s="1084"/>
      <c r="M10" s="1084"/>
      <c r="N10" s="1084"/>
      <c r="O10" s="1084"/>
      <c r="P10" s="1084"/>
      <c r="Q10" s="1084"/>
      <c r="R10" s="1084"/>
      <c r="S10" s="1084"/>
      <c r="T10" s="1084"/>
      <c r="U10" s="1084"/>
      <c r="V10" s="1084"/>
      <c r="W10" s="1082">
        <v>24</v>
      </c>
    </row>
    <row r="11" spans="1:23" ht="25.5" customHeight="1">
      <c r="E11" s="1084"/>
      <c r="F11" s="2351"/>
      <c r="G11" s="2354"/>
      <c r="H11" s="2353" t="e">
        <f>INDEX(IP_MAIN_LIST_NAME_IP,MATCH(H8,IP_MAIN_LIST_IP_ID,0))&amp;" ("&amp;INDEX(IP_MAIN_START_DATE,MATCH(H8,IP_MAIN_LIST_IP_ID,0))&amp;"-"&amp;INDEX(IP_MAIN_END_DATE,MATCH(H8,IP_MAIN_LIST_IP_ID,0))&amp;")"</f>
        <v>#N/A</v>
      </c>
      <c r="I11" s="2353"/>
      <c r="J11" s="2353"/>
      <c r="K11" s="1160"/>
      <c r="L11" s="1084"/>
      <c r="M11" s="1084"/>
      <c r="N11" s="1084"/>
      <c r="O11" s="1084"/>
      <c r="P11" s="1084"/>
      <c r="Q11" s="1084"/>
      <c r="R11" s="1084"/>
      <c r="S11" s="1084"/>
      <c r="T11" s="1084"/>
      <c r="U11" s="1084"/>
      <c r="V11" s="1084"/>
      <c r="W11" s="1082">
        <v>24</v>
      </c>
    </row>
    <row r="12" spans="1:23" ht="10.5" customHeight="1">
      <c r="F12" s="2352"/>
      <c r="G12" s="2354"/>
      <c r="H12" s="1153" t="s">
        <v>1020</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1021</v>
      </c>
      <c r="G14" s="2348" t="s">
        <v>1022</v>
      </c>
      <c r="H14" s="2348"/>
      <c r="I14" s="2348"/>
      <c r="J14" s="2348"/>
      <c r="K14" s="1161"/>
      <c r="W14" s="1082">
        <v>11</v>
      </c>
    </row>
    <row r="15" spans="1:23" ht="11.45" customHeight="1">
      <c r="F15" s="1157">
        <v>1</v>
      </c>
      <c r="G15" s="627" t="s">
        <v>1023</v>
      </c>
      <c r="H15" s="1163">
        <f t="shared" ref="H15:H36" si="0">SUM(I15:J15)</f>
        <v>0</v>
      </c>
      <c r="I15" s="1163">
        <f>SUM(I16:I27)</f>
        <v>0</v>
      </c>
      <c r="J15" s="1152"/>
      <c r="K15" s="1161"/>
      <c r="W15" s="1082">
        <v>11</v>
      </c>
    </row>
    <row r="16" spans="1:23" ht="24" customHeight="1">
      <c r="F16" s="1157" t="s">
        <v>1024</v>
      </c>
      <c r="G16" s="1164" t="s">
        <v>1025</v>
      </c>
      <c r="H16" s="1163">
        <f t="shared" si="0"/>
        <v>0</v>
      </c>
      <c r="I16" s="1162"/>
      <c r="J16" s="1152"/>
      <c r="K16" s="1161"/>
      <c r="W16" s="1082">
        <v>23</v>
      </c>
    </row>
    <row r="17" spans="6:23" ht="24" customHeight="1">
      <c r="F17" s="1157" t="s">
        <v>1026</v>
      </c>
      <c r="G17" s="1164" t="s">
        <v>1027</v>
      </c>
      <c r="H17" s="1163">
        <f t="shared" si="0"/>
        <v>0</v>
      </c>
      <c r="I17" s="1162"/>
      <c r="J17" s="1152"/>
      <c r="K17" s="1161"/>
      <c r="W17" s="1082">
        <v>23</v>
      </c>
    </row>
    <row r="18" spans="6:23" ht="35.65" customHeight="1">
      <c r="F18" s="1157" t="s">
        <v>1028</v>
      </c>
      <c r="G18" s="1164" t="s">
        <v>1029</v>
      </c>
      <c r="H18" s="1163">
        <f t="shared" si="0"/>
        <v>0</v>
      </c>
      <c r="I18" s="1162"/>
      <c r="J18" s="1152"/>
      <c r="K18" s="1161"/>
      <c r="W18" s="1082">
        <v>34</v>
      </c>
    </row>
    <row r="19" spans="6:23" ht="35.65" customHeight="1">
      <c r="F19" s="1157" t="s">
        <v>1030</v>
      </c>
      <c r="G19" s="1164" t="s">
        <v>1031</v>
      </c>
      <c r="H19" s="1163">
        <f t="shared" si="0"/>
        <v>0</v>
      </c>
      <c r="I19" s="1162"/>
      <c r="J19" s="1152"/>
      <c r="K19" s="1161"/>
      <c r="W19" s="1082">
        <v>34</v>
      </c>
    </row>
    <row r="20" spans="6:23" ht="48.2" customHeight="1">
      <c r="F20" s="1157" t="s">
        <v>1032</v>
      </c>
      <c r="G20" s="1164" t="s">
        <v>1033</v>
      </c>
      <c r="H20" s="1163">
        <f t="shared" si="0"/>
        <v>0</v>
      </c>
      <c r="I20" s="1162"/>
      <c r="J20" s="1152"/>
      <c r="K20" s="1161"/>
      <c r="W20" s="1082">
        <v>46</v>
      </c>
    </row>
    <row r="21" spans="6:23" ht="35.65" customHeight="1">
      <c r="F21" s="1157" t="s">
        <v>1034</v>
      </c>
      <c r="G21" s="1164" t="s">
        <v>1035</v>
      </c>
      <c r="H21" s="1163">
        <f t="shared" si="0"/>
        <v>0</v>
      </c>
      <c r="I21" s="1162"/>
      <c r="J21" s="1152"/>
      <c r="K21" s="1161"/>
      <c r="W21" s="1082">
        <v>34</v>
      </c>
    </row>
    <row r="22" spans="6:23" ht="35.65" customHeight="1">
      <c r="F22" s="1157" t="s">
        <v>1036</v>
      </c>
      <c r="G22" s="1164" t="s">
        <v>1037</v>
      </c>
      <c r="H22" s="1163">
        <f t="shared" si="0"/>
        <v>0</v>
      </c>
      <c r="I22" s="1162"/>
      <c r="J22" s="1152"/>
      <c r="K22" s="1161"/>
      <c r="W22" s="1082">
        <v>34</v>
      </c>
    </row>
    <row r="23" spans="6:23" ht="24" customHeight="1">
      <c r="F23" s="1157" t="s">
        <v>1038</v>
      </c>
      <c r="G23" s="1164" t="s">
        <v>1039</v>
      </c>
      <c r="H23" s="1163">
        <f t="shared" si="0"/>
        <v>0</v>
      </c>
      <c r="I23" s="1162"/>
      <c r="J23" s="1152"/>
      <c r="K23" s="1161"/>
      <c r="W23" s="1082">
        <v>23</v>
      </c>
    </row>
    <row r="24" spans="6:23" ht="24" customHeight="1">
      <c r="F24" s="1157" t="s">
        <v>1040</v>
      </c>
      <c r="G24" s="1164" t="s">
        <v>1041</v>
      </c>
      <c r="H24" s="1163">
        <f t="shared" si="0"/>
        <v>0</v>
      </c>
      <c r="I24" s="1162"/>
      <c r="J24" s="1152"/>
      <c r="K24" s="1161"/>
      <c r="W24" s="1082">
        <v>23</v>
      </c>
    </row>
    <row r="25" spans="6:23" ht="35.65" customHeight="1">
      <c r="F25" s="1157" t="s">
        <v>1042</v>
      </c>
      <c r="G25" s="1164" t="s">
        <v>1043</v>
      </c>
      <c r="H25" s="1163">
        <f t="shared" si="0"/>
        <v>0</v>
      </c>
      <c r="I25" s="1162"/>
      <c r="J25" s="1152"/>
      <c r="K25" s="1161"/>
      <c r="W25" s="1082">
        <v>34</v>
      </c>
    </row>
    <row r="26" spans="6:23" ht="35.65" customHeight="1">
      <c r="F26" s="1157" t="s">
        <v>1044</v>
      </c>
      <c r="G26" s="1164" t="s">
        <v>1045</v>
      </c>
      <c r="H26" s="1163">
        <f t="shared" si="0"/>
        <v>0</v>
      </c>
      <c r="I26" s="1162"/>
      <c r="J26" s="1152"/>
      <c r="K26" s="1161"/>
      <c r="W26" s="1082">
        <v>34</v>
      </c>
    </row>
    <row r="27" spans="6:23" ht="11.45" customHeight="1">
      <c r="F27" s="1157" t="s">
        <v>1046</v>
      </c>
      <c r="G27" s="1164" t="s">
        <v>1047</v>
      </c>
      <c r="H27" s="1163">
        <f t="shared" si="0"/>
        <v>0</v>
      </c>
      <c r="I27" s="1162"/>
      <c r="J27" s="1152"/>
      <c r="K27" s="1161"/>
      <c r="W27" s="1082">
        <v>11</v>
      </c>
    </row>
    <row r="28" spans="6:23" ht="11.45" customHeight="1">
      <c r="F28" s="1157">
        <v>2</v>
      </c>
      <c r="G28" s="627" t="s">
        <v>1048</v>
      </c>
      <c r="H28" s="1163">
        <f t="shared" si="0"/>
        <v>0</v>
      </c>
      <c r="I28" s="1163">
        <f>SUM(I29:I31)</f>
        <v>0</v>
      </c>
      <c r="J28" s="1152"/>
      <c r="K28" s="1161"/>
      <c r="W28" s="1082">
        <v>11</v>
      </c>
    </row>
    <row r="29" spans="6:23" ht="11.45" customHeight="1">
      <c r="F29" s="1157" t="s">
        <v>711</v>
      </c>
      <c r="G29" s="1164" t="s">
        <v>1049</v>
      </c>
      <c r="H29" s="1163">
        <f t="shared" si="0"/>
        <v>0</v>
      </c>
      <c r="I29" s="1162"/>
      <c r="J29" s="1152"/>
      <c r="K29" s="1161"/>
      <c r="W29" s="1082">
        <v>11</v>
      </c>
    </row>
    <row r="30" spans="6:23" ht="11.45" customHeight="1">
      <c r="F30" s="1157" t="s">
        <v>309</v>
      </c>
      <c r="G30" s="1164" t="s">
        <v>1050</v>
      </c>
      <c r="H30" s="1163">
        <f t="shared" si="0"/>
        <v>0</v>
      </c>
      <c r="I30" s="1162"/>
      <c r="J30" s="1152"/>
      <c r="K30" s="1161"/>
      <c r="W30" s="1082">
        <v>11</v>
      </c>
    </row>
    <row r="31" spans="6:23" ht="11.45" customHeight="1">
      <c r="F31" s="1157" t="s">
        <v>312</v>
      </c>
      <c r="G31" s="1164" t="s">
        <v>1051</v>
      </c>
      <c r="H31" s="1163">
        <f t="shared" si="0"/>
        <v>0</v>
      </c>
      <c r="I31" s="1162"/>
      <c r="J31" s="1152"/>
      <c r="K31" s="1161"/>
      <c r="W31" s="1082">
        <v>11</v>
      </c>
    </row>
    <row r="32" spans="6:23" ht="11.45" customHeight="1">
      <c r="F32" s="1157">
        <v>3</v>
      </c>
      <c r="G32" s="627" t="s">
        <v>1052</v>
      </c>
      <c r="H32" s="1163">
        <f t="shared" si="0"/>
        <v>0</v>
      </c>
      <c r="I32" s="1163">
        <f>SUM(I33:I34)</f>
        <v>0</v>
      </c>
      <c r="J32" s="1152"/>
      <c r="K32" s="1161"/>
      <c r="W32" s="1082">
        <v>11</v>
      </c>
    </row>
    <row r="33" spans="6:23" ht="48.2" customHeight="1">
      <c r="F33" s="1157" t="s">
        <v>326</v>
      </c>
      <c r="G33" s="1164" t="s">
        <v>1053</v>
      </c>
      <c r="H33" s="1163">
        <f t="shared" si="0"/>
        <v>0</v>
      </c>
      <c r="I33" s="1162"/>
      <c r="J33" s="1152"/>
      <c r="K33" s="1161"/>
      <c r="W33" s="1082">
        <v>46</v>
      </c>
    </row>
    <row r="34" spans="6:23" ht="11.45" customHeight="1">
      <c r="F34" s="1157" t="s">
        <v>334</v>
      </c>
      <c r="G34" s="1164" t="s">
        <v>1054</v>
      </c>
      <c r="H34" s="1163">
        <f t="shared" si="0"/>
        <v>0</v>
      </c>
      <c r="I34" s="1162"/>
      <c r="J34" s="1152"/>
      <c r="K34" s="1161"/>
      <c r="W34" s="1082">
        <v>11</v>
      </c>
    </row>
    <row r="35" spans="6:23" ht="11.45" customHeight="1">
      <c r="F35" s="1157">
        <v>4</v>
      </c>
      <c r="G35" s="627" t="s">
        <v>1055</v>
      </c>
      <c r="H35" s="1163">
        <f t="shared" si="0"/>
        <v>0</v>
      </c>
      <c r="I35" s="1162"/>
      <c r="J35" s="1152"/>
      <c r="K35" s="1161"/>
      <c r="W35" s="1082">
        <v>11</v>
      </c>
    </row>
    <row r="36" spans="6:23" ht="11.45" customHeight="1">
      <c r="F36" s="1157"/>
      <c r="G36" s="630" t="s">
        <v>1056</v>
      </c>
      <c r="H36" s="1163">
        <f t="shared" si="0"/>
        <v>0</v>
      </c>
      <c r="I36" s="1163">
        <f>SUM(I15,I28,I32,I35)</f>
        <v>0</v>
      </c>
      <c r="J36" s="1152"/>
      <c r="K36" s="1161"/>
      <c r="W36" s="1082">
        <v>11</v>
      </c>
    </row>
    <row r="37" spans="6:23" ht="29.25" customHeight="1">
      <c r="F37" s="1158" t="s">
        <v>1057</v>
      </c>
      <c r="G37" s="2349" t="s">
        <v>1058</v>
      </c>
      <c r="H37" s="2349"/>
      <c r="I37" s="2349"/>
      <c r="J37" s="2349"/>
      <c r="K37" s="1161"/>
      <c r="W37" s="1082">
        <v>28</v>
      </c>
    </row>
    <row r="38" spans="6:23" ht="24" customHeight="1">
      <c r="F38" s="1157" t="s">
        <v>108</v>
      </c>
      <c r="G38" s="627" t="s">
        <v>1059</v>
      </c>
      <c r="H38" s="1163">
        <f t="shared" ref="H38:H58" si="1">SUM(I38:J38)</f>
        <v>0</v>
      </c>
      <c r="I38" s="1163">
        <f>SUM(I39,I44,I47)</f>
        <v>0</v>
      </c>
      <c r="J38" s="1152"/>
      <c r="K38" s="1161"/>
      <c r="W38" s="1082">
        <v>23</v>
      </c>
    </row>
    <row r="39" spans="6:23" ht="11.45" customHeight="1">
      <c r="F39" s="1157" t="s">
        <v>1024</v>
      </c>
      <c r="G39" s="1164" t="s">
        <v>1023</v>
      </c>
      <c r="H39" s="1163">
        <f t="shared" si="1"/>
        <v>0</v>
      </c>
      <c r="I39" s="1163">
        <f>SUM(I40:I43)</f>
        <v>0</v>
      </c>
      <c r="J39" s="1152"/>
      <c r="K39" s="1161"/>
      <c r="W39" s="1082">
        <v>11</v>
      </c>
    </row>
    <row r="40" spans="6:23" ht="24" customHeight="1">
      <c r="F40" s="1157" t="s">
        <v>1060</v>
      </c>
      <c r="G40" s="1165" t="s">
        <v>1061</v>
      </c>
      <c r="H40" s="1163">
        <f t="shared" si="1"/>
        <v>0</v>
      </c>
      <c r="I40" s="1162"/>
      <c r="J40" s="1152"/>
      <c r="K40" s="1161"/>
      <c r="W40" s="1082">
        <v>23</v>
      </c>
    </row>
    <row r="41" spans="6:23" ht="11.45" customHeight="1">
      <c r="F41" s="1157" t="s">
        <v>1062</v>
      </c>
      <c r="G41" s="1165" t="s">
        <v>1063</v>
      </c>
      <c r="H41" s="1163">
        <f t="shared" si="1"/>
        <v>0</v>
      </c>
      <c r="I41" s="1162"/>
      <c r="J41" s="1152"/>
      <c r="K41" s="1161"/>
      <c r="W41" s="1082">
        <v>11</v>
      </c>
    </row>
    <row r="42" spans="6:23" ht="11.45" customHeight="1">
      <c r="F42" s="1157" t="s">
        <v>1064</v>
      </c>
      <c r="G42" s="1165" t="s">
        <v>1065</v>
      </c>
      <c r="H42" s="1163">
        <f t="shared" si="1"/>
        <v>0</v>
      </c>
      <c r="I42" s="1162"/>
      <c r="J42" s="1152"/>
      <c r="K42" s="1161"/>
      <c r="W42" s="1082">
        <v>11</v>
      </c>
    </row>
    <row r="43" spans="6:23" ht="35.65" customHeight="1">
      <c r="F43" s="1157" t="s">
        <v>1066</v>
      </c>
      <c r="G43" s="1165" t="s">
        <v>1067</v>
      </c>
      <c r="H43" s="1163">
        <f t="shared" si="1"/>
        <v>0</v>
      </c>
      <c r="I43" s="1162"/>
      <c r="J43" s="1152"/>
      <c r="K43" s="1161"/>
      <c r="W43" s="1082">
        <v>34</v>
      </c>
    </row>
    <row r="44" spans="6:23" ht="11.45" customHeight="1">
      <c r="F44" s="1157" t="s">
        <v>1026</v>
      </c>
      <c r="G44" s="1164" t="s">
        <v>1052</v>
      </c>
      <c r="H44" s="1163">
        <f t="shared" si="1"/>
        <v>0</v>
      </c>
      <c r="I44" s="1163">
        <f>SUM(I45:I46)</f>
        <v>0</v>
      </c>
      <c r="J44" s="1152"/>
      <c r="K44" s="1161"/>
      <c r="W44" s="1082">
        <v>11</v>
      </c>
    </row>
    <row r="45" spans="6:23" ht="48.2" customHeight="1">
      <c r="F45" s="1157" t="s">
        <v>1068</v>
      </c>
      <c r="G45" s="1165" t="s">
        <v>1053</v>
      </c>
      <c r="H45" s="1163">
        <f t="shared" si="1"/>
        <v>0</v>
      </c>
      <c r="I45" s="1162"/>
      <c r="J45" s="1152"/>
      <c r="K45" s="1161"/>
      <c r="W45" s="1082">
        <v>46</v>
      </c>
    </row>
    <row r="46" spans="6:23" ht="11.45" customHeight="1">
      <c r="F46" s="1157" t="s">
        <v>1069</v>
      </c>
      <c r="G46" s="1165" t="s">
        <v>1054</v>
      </c>
      <c r="H46" s="1163">
        <f t="shared" si="1"/>
        <v>0</v>
      </c>
      <c r="I46" s="1162"/>
      <c r="J46" s="1152"/>
      <c r="K46" s="1161"/>
      <c r="W46" s="1082">
        <v>11</v>
      </c>
    </row>
    <row r="47" spans="6:23" ht="11.45" customHeight="1">
      <c r="F47" s="1157" t="s">
        <v>1028</v>
      </c>
      <c r="G47" s="1164" t="s">
        <v>1070</v>
      </c>
      <c r="H47" s="1163">
        <f t="shared" si="1"/>
        <v>0</v>
      </c>
      <c r="I47" s="1162"/>
      <c r="J47" s="1152"/>
      <c r="K47" s="1161"/>
      <c r="W47" s="1082">
        <v>11</v>
      </c>
    </row>
    <row r="48" spans="6:23" ht="24" customHeight="1">
      <c r="F48" s="1157" t="s">
        <v>109</v>
      </c>
      <c r="G48" s="627" t="s">
        <v>1071</v>
      </c>
      <c r="H48" s="1163">
        <f t="shared" si="1"/>
        <v>0</v>
      </c>
      <c r="I48" s="1163">
        <f>SUM(I49,I54,I57)</f>
        <v>0</v>
      </c>
      <c r="J48" s="1152"/>
      <c r="K48" s="1161"/>
      <c r="W48" s="1082">
        <v>23</v>
      </c>
    </row>
    <row r="49" spans="1:23" ht="11.45" customHeight="1">
      <c r="F49" s="1157" t="s">
        <v>711</v>
      </c>
      <c r="G49" s="1164" t="s">
        <v>1023</v>
      </c>
      <c r="H49" s="1163">
        <f t="shared" si="1"/>
        <v>0</v>
      </c>
      <c r="I49" s="1163">
        <f>SUM(I50:I53)</f>
        <v>0</v>
      </c>
      <c r="J49" s="1152"/>
      <c r="K49" s="1161"/>
      <c r="W49" s="1082">
        <v>11</v>
      </c>
    </row>
    <row r="50" spans="1:23" ht="24" customHeight="1">
      <c r="F50" s="1157" t="s">
        <v>714</v>
      </c>
      <c r="G50" s="1165" t="s">
        <v>1061</v>
      </c>
      <c r="H50" s="1163">
        <f t="shared" si="1"/>
        <v>0</v>
      </c>
      <c r="I50" s="1162"/>
      <c r="J50" s="1152"/>
      <c r="K50" s="1161"/>
      <c r="W50" s="1082">
        <v>23</v>
      </c>
    </row>
    <row r="51" spans="1:23" ht="11.45" customHeight="1">
      <c r="F51" s="1157" t="s">
        <v>717</v>
      </c>
      <c r="G51" s="1165" t="s">
        <v>1063</v>
      </c>
      <c r="H51" s="1163">
        <f t="shared" si="1"/>
        <v>0</v>
      </c>
      <c r="I51" s="1162"/>
      <c r="J51" s="1152"/>
      <c r="K51" s="1161"/>
      <c r="W51" s="1082">
        <v>11</v>
      </c>
    </row>
    <row r="52" spans="1:23" ht="11.45" customHeight="1">
      <c r="F52" s="1157" t="s">
        <v>1072</v>
      </c>
      <c r="G52" s="1165" t="s">
        <v>1065</v>
      </c>
      <c r="H52" s="1163">
        <f t="shared" si="1"/>
        <v>0</v>
      </c>
      <c r="I52" s="1162"/>
      <c r="J52" s="1152"/>
      <c r="K52" s="1161"/>
      <c r="W52" s="1082">
        <v>11</v>
      </c>
    </row>
    <row r="53" spans="1:23" ht="35.65" customHeight="1">
      <c r="F53" s="1157" t="s">
        <v>1073</v>
      </c>
      <c r="G53" s="1165" t="s">
        <v>1067</v>
      </c>
      <c r="H53" s="1163">
        <f t="shared" si="1"/>
        <v>0</v>
      </c>
      <c r="I53" s="1162"/>
      <c r="J53" s="1152"/>
      <c r="K53" s="1161"/>
      <c r="W53" s="1082">
        <v>34</v>
      </c>
    </row>
    <row r="54" spans="1:23" ht="11.45" customHeight="1">
      <c r="F54" s="1157" t="s">
        <v>309</v>
      </c>
      <c r="G54" s="1164" t="s">
        <v>1052</v>
      </c>
      <c r="H54" s="1163">
        <f t="shared" si="1"/>
        <v>0</v>
      </c>
      <c r="I54" s="1163">
        <f>SUM(I55:I56)</f>
        <v>0</v>
      </c>
      <c r="J54" s="1152"/>
      <c r="K54" s="1161"/>
      <c r="W54" s="1082">
        <v>11</v>
      </c>
    </row>
    <row r="55" spans="1:23" ht="48.2" customHeight="1">
      <c r="F55" s="1157" t="s">
        <v>721</v>
      </c>
      <c r="G55" s="1165" t="s">
        <v>1053</v>
      </c>
      <c r="H55" s="1163">
        <f t="shared" si="1"/>
        <v>0</v>
      </c>
      <c r="I55" s="1162"/>
      <c r="J55" s="1152"/>
      <c r="K55" s="1161"/>
      <c r="W55" s="1082">
        <v>46</v>
      </c>
    </row>
    <row r="56" spans="1:23" ht="11.45" customHeight="1">
      <c r="F56" s="1157" t="s">
        <v>723</v>
      </c>
      <c r="G56" s="1165" t="s">
        <v>1054</v>
      </c>
      <c r="H56" s="1163">
        <f t="shared" si="1"/>
        <v>0</v>
      </c>
      <c r="I56" s="1162"/>
      <c r="J56" s="1152"/>
      <c r="K56" s="1161"/>
      <c r="W56" s="1082">
        <v>11</v>
      </c>
    </row>
    <row r="57" spans="1:23" ht="11.45" customHeight="1">
      <c r="F57" s="1157" t="s">
        <v>312</v>
      </c>
      <c r="G57" s="1164" t="s">
        <v>1070</v>
      </c>
      <c r="H57" s="1163">
        <f t="shared" si="1"/>
        <v>0</v>
      </c>
      <c r="I57" s="1162"/>
      <c r="J57" s="1152"/>
      <c r="K57" s="1161"/>
      <c r="W57" s="1082">
        <v>11</v>
      </c>
    </row>
    <row r="58" spans="1:23" ht="11.45" customHeight="1">
      <c r="F58" s="1157"/>
      <c r="G58" s="1166" t="s">
        <v>1056</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7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35"/>
      <c r="H5" s="2135"/>
      <c r="I5" s="2135"/>
      <c r="J5" s="2135"/>
      <c r="K5" s="2135"/>
      <c r="L5" s="2135"/>
      <c r="M5" s="2135"/>
      <c r="N5" s="2135"/>
      <c r="O5" s="2135"/>
      <c r="P5" s="2135"/>
      <c r="Q5" s="2135"/>
      <c r="R5" s="2135"/>
      <c r="S5" s="2135"/>
      <c r="T5" s="2135"/>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c r="AT5" s="2135"/>
      <c r="AU5" s="2135"/>
      <c r="AV5" s="2135"/>
      <c r="AW5" s="2135"/>
      <c r="AX5" s="2135"/>
      <c r="AY5" s="2135"/>
      <c r="AZ5" s="2135"/>
      <c r="BA5" s="2135"/>
      <c r="BB5" s="2135"/>
      <c r="BC5" s="2135"/>
      <c r="BD5" s="2135"/>
      <c r="BE5" s="2135"/>
      <c r="BF5" s="2135"/>
      <c r="BG5" s="2135"/>
      <c r="BH5" s="2135"/>
      <c r="BI5" s="2135"/>
      <c r="BJ5" s="2135"/>
      <c r="BK5" s="2135"/>
      <c r="BL5" s="2135"/>
      <c r="BM5" s="2135"/>
      <c r="BN5" s="2135"/>
      <c r="BO5" s="2135"/>
      <c r="BP5" s="2135"/>
      <c r="BQ5" s="2135"/>
      <c r="BR5" s="2135"/>
      <c r="BS5" s="2135"/>
      <c r="GC5" s="1799">
        <v>26</v>
      </c>
    </row>
    <row r="6" spans="2:185" s="2003" customFormat="1" ht="18.75" customHeight="1">
      <c r="B6" s="873"/>
      <c r="E6" s="875"/>
      <c r="F6" s="2194" t="str">
        <f>IF(org=0,"Не определено",org)</f>
        <v>МУП "Михайловское водопроводно-канализационное хозяйство"</v>
      </c>
      <c r="G6" s="2195"/>
      <c r="H6" s="2195"/>
      <c r="I6" s="2195"/>
      <c r="J6" s="2195"/>
      <c r="K6" s="2195"/>
      <c r="L6" s="2195"/>
      <c r="M6" s="2195"/>
      <c r="N6" s="2195"/>
      <c r="O6" s="2195"/>
      <c r="P6" s="2195"/>
      <c r="Q6" s="2195"/>
      <c r="R6" s="2195"/>
      <c r="S6" s="2195"/>
      <c r="T6" s="2195"/>
      <c r="U6" s="2195"/>
      <c r="V6" s="2195"/>
      <c r="W6" s="2195"/>
      <c r="X6" s="2195"/>
      <c r="Y6" s="2195"/>
      <c r="Z6" s="2195"/>
      <c r="AA6" s="2195"/>
      <c r="AB6" s="2195"/>
      <c r="AC6" s="2195"/>
      <c r="AD6" s="2195"/>
      <c r="AE6" s="2195"/>
      <c r="AF6" s="2195"/>
      <c r="AG6" s="2195"/>
      <c r="AH6" s="2195"/>
      <c r="AI6" s="2195"/>
      <c r="AJ6" s="2195"/>
      <c r="AK6" s="2195"/>
      <c r="AL6" s="2195"/>
      <c r="AM6" s="2195"/>
      <c r="AN6" s="2195"/>
      <c r="AO6" s="2195"/>
      <c r="AP6" s="2195"/>
      <c r="AQ6" s="2195"/>
      <c r="AR6" s="2195"/>
      <c r="AS6" s="2195"/>
      <c r="AT6" s="2195"/>
      <c r="AU6" s="2195"/>
      <c r="AV6" s="2195"/>
      <c r="AW6" s="2195"/>
      <c r="AX6" s="2195"/>
      <c r="AY6" s="2195"/>
      <c r="AZ6" s="2195"/>
      <c r="BA6" s="2195"/>
      <c r="BB6" s="2195"/>
      <c r="BC6" s="2195"/>
      <c r="BD6" s="2195"/>
      <c r="BE6" s="2195"/>
      <c r="BF6" s="2195"/>
      <c r="BG6" s="2195"/>
      <c r="BH6" s="2195"/>
      <c r="BI6" s="2195"/>
      <c r="BJ6" s="2195"/>
      <c r="BK6" s="2195"/>
      <c r="BL6" s="2195"/>
      <c r="BM6" s="2195"/>
      <c r="BN6" s="2195"/>
      <c r="BO6" s="2195"/>
      <c r="BP6" s="2195"/>
      <c r="BQ6" s="2195"/>
      <c r="BR6" s="2195"/>
      <c r="BS6" s="219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64" t="s">
        <v>1074</v>
      </c>
      <c r="P8" s="2365"/>
      <c r="Q8" s="2365"/>
      <c r="R8" s="2365"/>
      <c r="S8" s="2365"/>
      <c r="T8" s="2365"/>
      <c r="U8" s="2365"/>
      <c r="V8" s="2365"/>
      <c r="W8" s="2365"/>
      <c r="X8" s="2365"/>
      <c r="Y8" s="2365"/>
      <c r="Z8" s="2365"/>
      <c r="AA8" s="2365"/>
      <c r="AB8" s="2365"/>
      <c r="AC8" s="2365"/>
      <c r="AD8" s="2365"/>
      <c r="AE8" s="2365"/>
      <c r="AF8" s="2365"/>
      <c r="AG8" s="2365"/>
      <c r="AH8" s="2365"/>
      <c r="AI8" s="2365"/>
      <c r="AJ8" s="2365"/>
      <c r="AK8" s="2365"/>
      <c r="AL8" s="2365"/>
      <c r="AM8" s="2365"/>
      <c r="AN8" s="2365"/>
      <c r="AO8" s="2365"/>
      <c r="AP8" s="2365"/>
      <c r="AQ8" s="2365"/>
      <c r="AR8" s="2365"/>
      <c r="AS8" s="2365"/>
      <c r="AT8" s="2365"/>
      <c r="AU8" s="2365"/>
      <c r="AV8" s="2365"/>
      <c r="AW8" s="2365"/>
      <c r="AX8" s="2365"/>
      <c r="AY8" s="2365"/>
      <c r="AZ8" s="2365"/>
      <c r="BA8" s="2365"/>
      <c r="BB8" s="2365"/>
      <c r="BC8" s="2365"/>
      <c r="BD8" s="2365"/>
      <c r="BE8" s="2365"/>
      <c r="BF8" s="2365"/>
      <c r="BG8" s="2365"/>
      <c r="BH8" s="2365"/>
      <c r="BI8" s="2365"/>
      <c r="BJ8" s="2365"/>
      <c r="BK8" s="2365"/>
      <c r="BL8" s="2365"/>
      <c r="BM8" s="2365"/>
      <c r="BN8" s="2365"/>
      <c r="BO8" s="2365"/>
      <c r="BP8" s="2365"/>
      <c r="BQ8" s="2365"/>
      <c r="BR8" s="2365"/>
      <c r="BS8" s="2366"/>
      <c r="BT8" s="2367"/>
      <c r="BU8" s="2368"/>
      <c r="BV8" s="2368"/>
      <c r="BW8" s="2368"/>
      <c r="BX8" s="2368"/>
      <c r="BY8" s="2368"/>
      <c r="BZ8" s="2368"/>
      <c r="CA8" s="2368"/>
      <c r="CB8" s="2368"/>
      <c r="CC8" s="2368"/>
      <c r="CD8" s="2368"/>
      <c r="CE8" s="2368"/>
      <c r="CF8" s="2368"/>
      <c r="CG8" s="2368"/>
      <c r="CH8" s="2368"/>
      <c r="CI8" s="2368"/>
      <c r="CJ8" s="2368"/>
      <c r="CK8" s="2368"/>
      <c r="CL8" s="2368"/>
      <c r="CM8" s="2368"/>
      <c r="CN8" s="2368"/>
      <c r="CO8" s="2368"/>
      <c r="CP8" s="2368"/>
      <c r="CQ8" s="2368"/>
      <c r="CR8" s="2368"/>
      <c r="CS8" s="2368"/>
      <c r="CT8" s="2368"/>
      <c r="CU8" s="2368"/>
      <c r="CV8" s="2368"/>
      <c r="CW8" s="2368"/>
      <c r="CX8" s="2369"/>
      <c r="CY8" s="2370"/>
      <c r="CZ8" s="2371"/>
      <c r="DA8" s="2371"/>
      <c r="DB8" s="2371"/>
      <c r="DC8" s="2371"/>
      <c r="DD8" s="2371"/>
      <c r="DE8" s="2371"/>
      <c r="DF8" s="2371"/>
      <c r="DG8" s="2371"/>
      <c r="DH8" s="2371"/>
      <c r="DI8" s="2371"/>
      <c r="DJ8" s="2371"/>
      <c r="DK8" s="2371"/>
      <c r="DL8" s="2371"/>
      <c r="DM8" s="2371"/>
      <c r="DN8" s="2371"/>
      <c r="DO8" s="2371"/>
      <c r="DP8" s="2371"/>
      <c r="DQ8" s="2371"/>
      <c r="DR8" s="2371"/>
      <c r="DS8" s="2371"/>
      <c r="DT8" s="2371"/>
      <c r="DU8" s="2371"/>
      <c r="DV8" s="2371"/>
      <c r="DW8" s="2371"/>
      <c r="DX8" s="2372"/>
      <c r="DY8" s="2358" t="s">
        <v>1075</v>
      </c>
      <c r="DZ8" s="2359"/>
      <c r="EA8" s="2359"/>
      <c r="EB8" s="2359"/>
      <c r="EC8" s="2359"/>
      <c r="ED8" s="2359"/>
      <c r="EE8" s="2359"/>
      <c r="EF8" s="2359"/>
      <c r="EG8" s="2359"/>
      <c r="EH8" s="2359"/>
      <c r="EI8" s="2359"/>
      <c r="EJ8" s="2359"/>
      <c r="EK8" s="2359"/>
      <c r="EL8" s="2359"/>
      <c r="EM8" s="2359"/>
      <c r="EN8" s="2359"/>
      <c r="EO8" s="2359"/>
      <c r="EP8" s="2359"/>
      <c r="EQ8" s="2359"/>
      <c r="ER8" s="2359"/>
      <c r="ES8" s="2359"/>
      <c r="ET8" s="2359"/>
      <c r="EU8" s="2359"/>
      <c r="EV8" s="2359"/>
      <c r="EW8" s="2359"/>
      <c r="EX8" s="2359"/>
      <c r="EY8" s="2359"/>
      <c r="EZ8" s="2359"/>
      <c r="FA8" s="2359"/>
      <c r="FB8" s="2359"/>
      <c r="FC8" s="2359"/>
      <c r="FD8" s="2359"/>
      <c r="FE8" s="2359"/>
      <c r="FF8" s="2359"/>
      <c r="FG8" s="2359"/>
      <c r="FH8" s="2359"/>
      <c r="FI8" s="2359"/>
      <c r="FJ8" s="2359"/>
      <c r="FK8" s="2359"/>
      <c r="FL8" s="2359"/>
      <c r="FM8" s="2359"/>
      <c r="FN8" s="2359"/>
      <c r="FO8" s="2359"/>
      <c r="FP8" s="2359"/>
      <c r="FQ8" s="2359"/>
      <c r="FR8" s="2359"/>
      <c r="FS8" s="2359"/>
      <c r="FT8" s="2359"/>
      <c r="FU8" s="2359"/>
      <c r="FV8" s="2359"/>
      <c r="FW8" s="236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61"/>
      <c r="FX9" s="986"/>
      <c r="GC9" s="863">
        <v>0</v>
      </c>
    </row>
    <row r="10" spans="2:185" s="863" customFormat="1" ht="11.45" customHeight="1">
      <c r="B10" s="864"/>
      <c r="F10" s="2337" t="s">
        <v>302</v>
      </c>
      <c r="G10" s="2374"/>
      <c r="H10" s="2374"/>
      <c r="I10" s="2374"/>
      <c r="J10" s="2374"/>
      <c r="K10" s="2374"/>
      <c r="L10" s="2374"/>
      <c r="M10" s="2374"/>
      <c r="N10" s="2374"/>
      <c r="O10" s="2374"/>
      <c r="P10" s="2374"/>
      <c r="Q10" s="2374"/>
      <c r="R10" s="2374"/>
      <c r="S10" s="2374"/>
      <c r="T10" s="2374"/>
      <c r="U10" s="2374"/>
      <c r="V10" s="2374"/>
      <c r="W10" s="2374"/>
      <c r="X10" s="2374"/>
      <c r="Y10" s="2374"/>
      <c r="Z10" s="2374"/>
      <c r="AA10" s="2374"/>
      <c r="AB10" s="2374"/>
      <c r="AC10" s="2374"/>
      <c r="AD10" s="2374"/>
      <c r="AE10" s="2374"/>
      <c r="AF10" s="2374"/>
      <c r="AG10" s="2374"/>
      <c r="AH10" s="2374"/>
      <c r="AI10" s="2374"/>
      <c r="AJ10" s="2374"/>
      <c r="AK10" s="2374"/>
      <c r="AL10" s="2374"/>
      <c r="AM10" s="2374"/>
      <c r="AN10" s="2374"/>
      <c r="AO10" s="2374"/>
      <c r="AP10" s="2374"/>
      <c r="AQ10" s="2374"/>
      <c r="AR10" s="2374"/>
      <c r="AS10" s="2374"/>
      <c r="AT10" s="2374"/>
      <c r="AU10" s="2374"/>
      <c r="AV10" s="2374"/>
      <c r="AW10" s="2374"/>
      <c r="AX10" s="2374"/>
      <c r="AY10" s="2374"/>
      <c r="AZ10" s="2374"/>
      <c r="BA10" s="2374"/>
      <c r="BB10" s="2374"/>
      <c r="BC10" s="2374"/>
      <c r="BD10" s="2374"/>
      <c r="BE10" s="2374"/>
      <c r="BF10" s="2374"/>
      <c r="BG10" s="2374"/>
      <c r="BH10" s="2374"/>
      <c r="BI10" s="2374"/>
      <c r="BJ10" s="2374"/>
      <c r="BK10" s="2374"/>
      <c r="BL10" s="2374"/>
      <c r="BM10" s="2374"/>
      <c r="BN10" s="2374"/>
      <c r="BO10" s="2374"/>
      <c r="BP10" s="2374"/>
      <c r="BQ10" s="2374"/>
      <c r="BR10" s="2374"/>
      <c r="BS10" s="2374"/>
      <c r="BT10" s="2374"/>
      <c r="BU10" s="2374"/>
      <c r="BV10" s="2374"/>
      <c r="BW10" s="2374"/>
      <c r="BX10" s="2374"/>
      <c r="BY10" s="2374"/>
      <c r="BZ10" s="2374"/>
      <c r="CA10" s="2374"/>
      <c r="CB10" s="2374"/>
      <c r="CC10" s="2374"/>
      <c r="CD10" s="2374"/>
      <c r="CE10" s="2374"/>
      <c r="CF10" s="2374"/>
      <c r="CG10" s="2374"/>
      <c r="CH10" s="2374"/>
      <c r="CI10" s="2374"/>
      <c r="CJ10" s="2374"/>
      <c r="CK10" s="2374"/>
      <c r="CL10" s="2374"/>
      <c r="CM10" s="2374"/>
      <c r="CN10" s="2374"/>
      <c r="CO10" s="2374"/>
      <c r="CP10" s="2374"/>
      <c r="CQ10" s="2374"/>
      <c r="CR10" s="2374"/>
      <c r="CS10" s="2374"/>
      <c r="CT10" s="2374"/>
      <c r="CU10" s="2374"/>
      <c r="CV10" s="2374"/>
      <c r="CW10" s="2374"/>
      <c r="CX10" s="2374"/>
      <c r="CY10" s="2374"/>
      <c r="CZ10" s="2374"/>
      <c r="DA10" s="2374"/>
      <c r="DB10" s="2374"/>
      <c r="DC10" s="2374"/>
      <c r="DD10" s="2374"/>
      <c r="DE10" s="2374"/>
      <c r="DF10" s="2374"/>
      <c r="DG10" s="2374"/>
      <c r="DH10" s="2374"/>
      <c r="DI10" s="2374"/>
      <c r="DJ10" s="2374"/>
      <c r="DK10" s="2374"/>
      <c r="DL10" s="2374"/>
      <c r="DM10" s="2374"/>
      <c r="DN10" s="2374"/>
      <c r="DO10" s="2374"/>
      <c r="DP10" s="2374"/>
      <c r="DQ10" s="2374"/>
      <c r="DR10" s="2374"/>
      <c r="DS10" s="2374"/>
      <c r="DT10" s="2374"/>
      <c r="DU10" s="2374"/>
      <c r="DV10" s="2374"/>
      <c r="DW10" s="2374"/>
      <c r="DX10" s="2374"/>
      <c r="DY10" s="2374"/>
      <c r="DZ10" s="2374"/>
      <c r="EA10" s="2374"/>
      <c r="EB10" s="2374"/>
      <c r="EC10" s="2374"/>
      <c r="ED10" s="2374"/>
      <c r="EE10" s="2374"/>
      <c r="EF10" s="2374"/>
      <c r="EG10" s="2374"/>
      <c r="EH10" s="2374"/>
      <c r="EI10" s="2374"/>
      <c r="EJ10" s="2374"/>
      <c r="EK10" s="2374"/>
      <c r="EL10" s="2374"/>
      <c r="EM10" s="2374"/>
      <c r="EN10" s="2374"/>
      <c r="EO10" s="2374"/>
      <c r="EP10" s="2374"/>
      <c r="EQ10" s="2374"/>
      <c r="ER10" s="2374"/>
      <c r="ES10" s="2374"/>
      <c r="ET10" s="2374"/>
      <c r="EU10" s="2374"/>
      <c r="EV10" s="2374"/>
      <c r="EW10" s="2374"/>
      <c r="EX10" s="2374"/>
      <c r="EY10" s="2374"/>
      <c r="EZ10" s="2374"/>
      <c r="FA10" s="2374"/>
      <c r="FB10" s="2374"/>
      <c r="FC10" s="2374"/>
      <c r="FD10" s="2374"/>
      <c r="FE10" s="2374"/>
      <c r="FF10" s="2374"/>
      <c r="FG10" s="2374"/>
      <c r="FH10" s="2374"/>
      <c r="FI10" s="2374"/>
      <c r="FJ10" s="2374"/>
      <c r="FK10" s="2374"/>
      <c r="FL10" s="2374"/>
      <c r="FM10" s="2374"/>
      <c r="FN10" s="2374"/>
      <c r="FO10" s="2374"/>
      <c r="FP10" s="2374"/>
      <c r="FQ10" s="2374"/>
      <c r="FR10" s="2374"/>
      <c r="FS10" s="2374"/>
      <c r="FT10" s="2374"/>
      <c r="FU10" s="2374"/>
      <c r="FV10" s="2375"/>
      <c r="FW10" s="2361"/>
      <c r="FX10" s="986"/>
      <c r="GC10" s="863">
        <v>11</v>
      </c>
    </row>
    <row r="11" spans="2:185" ht="12.75" customHeight="1">
      <c r="E11" s="867"/>
      <c r="F11" s="2176" t="s">
        <v>87</v>
      </c>
      <c r="G11" s="2176" t="s">
        <v>1076</v>
      </c>
      <c r="H11" s="2176" t="s">
        <v>1077</v>
      </c>
      <c r="I11" s="2176" t="s">
        <v>1078</v>
      </c>
      <c r="J11" s="2373"/>
      <c r="K11" s="2373"/>
      <c r="L11" s="2373"/>
      <c r="M11" s="2373"/>
      <c r="N11" s="2373"/>
      <c r="O11" s="2180" t="s">
        <v>1079</v>
      </c>
      <c r="P11" s="2180"/>
      <c r="Q11" s="2180"/>
      <c r="R11" s="2180"/>
      <c r="S11" s="2180"/>
      <c r="T11" s="2180"/>
      <c r="U11" s="2180"/>
      <c r="V11" s="2180"/>
      <c r="W11" s="2180"/>
      <c r="X11" s="2180"/>
      <c r="Y11" s="2180"/>
      <c r="Z11" s="2180"/>
      <c r="AA11" s="2180"/>
      <c r="AB11" s="2180"/>
      <c r="AC11" s="2356"/>
      <c r="AD11" s="2356"/>
      <c r="AE11" s="2356"/>
      <c r="AF11" s="2356"/>
      <c r="AG11" s="2356"/>
      <c r="AH11" s="2356"/>
      <c r="AI11" s="2356"/>
      <c r="AJ11" s="2356"/>
      <c r="AK11" s="2356"/>
      <c r="AL11" s="2356"/>
      <c r="AM11" s="2356"/>
      <c r="AN11" s="2356"/>
      <c r="AO11" s="2356"/>
      <c r="AP11" s="2356"/>
      <c r="AQ11" s="2356"/>
      <c r="AR11" s="2356"/>
      <c r="AS11" s="2356"/>
      <c r="AT11" s="2356"/>
      <c r="AU11" s="2356"/>
      <c r="AV11" s="2356"/>
      <c r="AW11" s="2356"/>
      <c r="AX11" s="2356"/>
      <c r="AY11" s="2356"/>
      <c r="AZ11" s="2356"/>
      <c r="BA11" s="2356"/>
      <c r="BB11" s="2356"/>
      <c r="BC11" s="2356"/>
      <c r="BD11" s="2356"/>
      <c r="BE11" s="2356"/>
      <c r="BF11" s="2356"/>
      <c r="BG11" s="2356"/>
      <c r="BH11" s="2356"/>
      <c r="BI11" s="2356"/>
      <c r="BJ11" s="2356"/>
      <c r="BK11" s="2356"/>
      <c r="BL11" s="2356"/>
      <c r="BM11" s="2356"/>
      <c r="BN11" s="2356"/>
      <c r="BO11" s="2356"/>
      <c r="BP11" s="2356"/>
      <c r="BQ11" s="2356"/>
      <c r="BR11" s="2356"/>
      <c r="BS11" s="2357"/>
      <c r="BT11" s="2323" t="s">
        <v>1079</v>
      </c>
      <c r="BU11" s="2324"/>
      <c r="BV11" s="2324"/>
      <c r="BW11" s="2324"/>
      <c r="BX11" s="2324"/>
      <c r="BY11" s="2324"/>
      <c r="BZ11" s="2324"/>
      <c r="CA11" s="2324"/>
      <c r="CB11" s="2324"/>
      <c r="CC11" s="2324"/>
      <c r="CD11" s="2324"/>
      <c r="CE11" s="2324"/>
      <c r="CF11" s="2324"/>
      <c r="CG11" s="2324"/>
      <c r="CH11" s="2324"/>
      <c r="CI11" s="2324"/>
      <c r="CJ11" s="2324"/>
      <c r="CK11" s="2355"/>
      <c r="CL11" s="2363"/>
      <c r="CM11" s="2356"/>
      <c r="CN11" s="2356"/>
      <c r="CO11" s="2356"/>
      <c r="CP11" s="2356"/>
      <c r="CQ11" s="2356"/>
      <c r="CR11" s="2356"/>
      <c r="CS11" s="2356"/>
      <c r="CT11" s="2356"/>
      <c r="CU11" s="2356"/>
      <c r="CV11" s="2356"/>
      <c r="CW11" s="2356"/>
      <c r="CX11" s="2357"/>
      <c r="CY11" s="2323" t="s">
        <v>1079</v>
      </c>
      <c r="CZ11" s="2324"/>
      <c r="DA11" s="2324"/>
      <c r="DB11" s="2324"/>
      <c r="DC11" s="2324"/>
      <c r="DD11" s="2324"/>
      <c r="DE11" s="2324"/>
      <c r="DF11" s="2324"/>
      <c r="DG11" s="2324"/>
      <c r="DH11" s="2324"/>
      <c r="DI11" s="2324"/>
      <c r="DJ11" s="2355"/>
      <c r="DK11" s="2363"/>
      <c r="DL11" s="2356"/>
      <c r="DM11" s="2356"/>
      <c r="DN11" s="2356"/>
      <c r="DO11" s="2356"/>
      <c r="DP11" s="2356"/>
      <c r="DQ11" s="2356"/>
      <c r="DR11" s="2356"/>
      <c r="DS11" s="2356"/>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2356"/>
      <c r="EU11" s="2356"/>
      <c r="EV11" s="2356"/>
      <c r="EW11" s="2356"/>
      <c r="EX11" s="2356"/>
      <c r="EY11" s="2356"/>
      <c r="EZ11" s="2356"/>
      <c r="FA11" s="2356"/>
      <c r="FB11" s="2356"/>
      <c r="FC11" s="2356"/>
      <c r="FD11" s="2356"/>
      <c r="FE11" s="2356"/>
      <c r="FF11" s="2356"/>
      <c r="FG11" s="2356"/>
      <c r="FH11" s="2356"/>
      <c r="FI11" s="2356"/>
      <c r="FJ11" s="2356"/>
      <c r="FK11" s="2356"/>
      <c r="FL11" s="2356"/>
      <c r="FM11" s="2356"/>
      <c r="FN11" s="2356"/>
      <c r="FO11" s="2356"/>
      <c r="FP11" s="2356"/>
      <c r="FQ11" s="2356"/>
      <c r="FR11" s="2356"/>
      <c r="FS11" s="2356"/>
      <c r="FT11" s="2356"/>
      <c r="FU11" s="2356"/>
      <c r="FV11" s="2356"/>
      <c r="FW11" s="2361"/>
      <c r="FX11" s="697"/>
      <c r="GC11" s="856">
        <v>12</v>
      </c>
    </row>
    <row r="12" spans="2:185" ht="12.75" customHeight="1">
      <c r="D12" s="868"/>
      <c r="E12" s="867"/>
      <c r="F12" s="2176"/>
      <c r="G12" s="2176"/>
      <c r="H12" s="2176"/>
      <c r="I12" s="2176"/>
      <c r="J12" s="2373"/>
      <c r="K12" s="2373"/>
      <c r="L12" s="2373"/>
      <c r="M12" s="2373"/>
      <c r="N12" s="2373"/>
      <c r="O12" s="2180" t="s">
        <v>1080</v>
      </c>
      <c r="P12" s="2180"/>
      <c r="Q12" s="2180"/>
      <c r="R12" s="2180"/>
      <c r="S12" s="2180" t="s">
        <v>1081</v>
      </c>
      <c r="T12" s="2180"/>
      <c r="U12" s="2180"/>
      <c r="V12" s="2180"/>
      <c r="W12" s="2180"/>
      <c r="X12" s="2180"/>
      <c r="Y12" s="2180"/>
      <c r="Z12" s="2180"/>
      <c r="AA12" s="2180"/>
      <c r="AB12" s="2180"/>
      <c r="AC12" s="2356"/>
      <c r="AD12" s="2356"/>
      <c r="AE12" s="2356"/>
      <c r="AF12" s="2356"/>
      <c r="AG12" s="2356"/>
      <c r="AH12" s="2356"/>
      <c r="AI12" s="2356"/>
      <c r="AJ12" s="2356"/>
      <c r="AK12" s="2356"/>
      <c r="AL12" s="2356"/>
      <c r="AM12" s="2356"/>
      <c r="AN12" s="2356"/>
      <c r="AO12" s="2356"/>
      <c r="AP12" s="2356"/>
      <c r="AQ12" s="2356"/>
      <c r="AR12" s="2356"/>
      <c r="AS12" s="2356"/>
      <c r="AT12" s="2356"/>
      <c r="AU12" s="2356"/>
      <c r="AV12" s="2356"/>
      <c r="AW12" s="2356"/>
      <c r="AX12" s="2356"/>
      <c r="AY12" s="2356"/>
      <c r="AZ12" s="2356"/>
      <c r="BA12" s="2356"/>
      <c r="BB12" s="2356"/>
      <c r="BC12" s="2356"/>
      <c r="BD12" s="2356"/>
      <c r="BE12" s="2356"/>
      <c r="BF12" s="2356"/>
      <c r="BG12" s="2356"/>
      <c r="BH12" s="2356"/>
      <c r="BI12" s="2356"/>
      <c r="BJ12" s="2356"/>
      <c r="BK12" s="2356"/>
      <c r="BL12" s="2356"/>
      <c r="BM12" s="2356"/>
      <c r="BN12" s="2356"/>
      <c r="BO12" s="2356"/>
      <c r="BP12" s="2356"/>
      <c r="BQ12" s="2356"/>
      <c r="BR12" s="2356"/>
      <c r="BS12" s="2357"/>
      <c r="BT12" s="2323" t="s">
        <v>1082</v>
      </c>
      <c r="BU12" s="2324"/>
      <c r="BV12" s="2324"/>
      <c r="BW12" s="2355"/>
      <c r="BX12" s="2323" t="s">
        <v>1083</v>
      </c>
      <c r="BY12" s="2324"/>
      <c r="BZ12" s="2324"/>
      <c r="CA12" s="2355"/>
      <c r="CB12" s="2323" t="s">
        <v>1084</v>
      </c>
      <c r="CC12" s="2355"/>
      <c r="CD12" s="2323" t="s">
        <v>1085</v>
      </c>
      <c r="CE12" s="2324"/>
      <c r="CF12" s="2324"/>
      <c r="CG12" s="2324"/>
      <c r="CH12" s="2324"/>
      <c r="CI12" s="2324"/>
      <c r="CJ12" s="2324"/>
      <c r="CK12" s="2355"/>
      <c r="CL12" s="2363"/>
      <c r="CM12" s="2356"/>
      <c r="CN12" s="2356"/>
      <c r="CO12" s="2356"/>
      <c r="CP12" s="2356"/>
      <c r="CQ12" s="2356"/>
      <c r="CR12" s="2356"/>
      <c r="CS12" s="2356"/>
      <c r="CT12" s="2356"/>
      <c r="CU12" s="2356"/>
      <c r="CV12" s="2356"/>
      <c r="CW12" s="2356"/>
      <c r="CX12" s="2357"/>
      <c r="CY12" s="2323" t="s">
        <v>1086</v>
      </c>
      <c r="CZ12" s="2324"/>
      <c r="DA12" s="2324"/>
      <c r="DB12" s="2324"/>
      <c r="DC12" s="2324"/>
      <c r="DD12" s="2355"/>
      <c r="DE12" s="2323" t="s">
        <v>1087</v>
      </c>
      <c r="DF12" s="2355"/>
      <c r="DG12" s="2323" t="s">
        <v>1085</v>
      </c>
      <c r="DH12" s="2324"/>
      <c r="DI12" s="2324"/>
      <c r="DJ12" s="2355"/>
      <c r="DK12" s="2363"/>
      <c r="DL12" s="2356"/>
      <c r="DM12" s="2356"/>
      <c r="DN12" s="2356"/>
      <c r="DO12" s="2356"/>
      <c r="DP12" s="2356"/>
      <c r="DQ12" s="2356"/>
      <c r="DR12" s="2356"/>
      <c r="DS12" s="2356"/>
      <c r="DT12" s="2356"/>
      <c r="DU12" s="2356"/>
      <c r="DV12" s="2356"/>
      <c r="DW12" s="2356"/>
      <c r="DX12" s="2356"/>
      <c r="DY12" s="2356"/>
      <c r="DZ12" s="2356"/>
      <c r="EA12" s="2356"/>
      <c r="EB12" s="2356"/>
      <c r="EC12" s="2356"/>
      <c r="ED12" s="2356"/>
      <c r="EE12" s="2356"/>
      <c r="EF12" s="2356"/>
      <c r="EG12" s="2356"/>
      <c r="EH12" s="2356"/>
      <c r="EI12" s="2356"/>
      <c r="EJ12" s="2356"/>
      <c r="EK12" s="2356"/>
      <c r="EL12" s="2356"/>
      <c r="EM12" s="2356"/>
      <c r="EN12" s="2356"/>
      <c r="EO12" s="2356"/>
      <c r="EP12" s="2356"/>
      <c r="EQ12" s="2356"/>
      <c r="ER12" s="2356"/>
      <c r="ES12" s="2356"/>
      <c r="ET12" s="2356"/>
      <c r="EU12" s="2356"/>
      <c r="EV12" s="2356"/>
      <c r="EW12" s="2356"/>
      <c r="EX12" s="2356"/>
      <c r="EY12" s="2356"/>
      <c r="EZ12" s="2356"/>
      <c r="FA12" s="2356"/>
      <c r="FB12" s="2356"/>
      <c r="FC12" s="2356"/>
      <c r="FD12" s="2356"/>
      <c r="FE12" s="2356"/>
      <c r="FF12" s="2356"/>
      <c r="FG12" s="2356"/>
      <c r="FH12" s="2356"/>
      <c r="FI12" s="2356"/>
      <c r="FJ12" s="2356"/>
      <c r="FK12" s="2356"/>
      <c r="FL12" s="2356"/>
      <c r="FM12" s="2356"/>
      <c r="FN12" s="2356"/>
      <c r="FO12" s="2356"/>
      <c r="FP12" s="2356"/>
      <c r="FQ12" s="2356"/>
      <c r="FR12" s="2356"/>
      <c r="FS12" s="2356"/>
      <c r="FT12" s="2356"/>
      <c r="FU12" s="2356"/>
      <c r="FV12" s="2356"/>
      <c r="FW12" s="2361"/>
      <c r="FX12" s="697"/>
      <c r="GC12" s="856">
        <v>12</v>
      </c>
    </row>
    <row r="13" spans="2:185" ht="37.9" customHeight="1">
      <c r="D13" s="868"/>
      <c r="E13" s="867"/>
      <c r="F13" s="2176"/>
      <c r="G13" s="2176"/>
      <c r="H13" s="2176"/>
      <c r="I13" s="2176"/>
      <c r="J13" s="2373"/>
      <c r="K13" s="2373"/>
      <c r="L13" s="2373"/>
      <c r="M13" s="2373"/>
      <c r="N13" s="2373"/>
      <c r="O13" s="2180" t="s">
        <v>1088</v>
      </c>
      <c r="P13" s="2180"/>
      <c r="Q13" s="2180"/>
      <c r="R13" s="2180"/>
      <c r="S13" s="2281" t="s">
        <v>1089</v>
      </c>
      <c r="T13" s="2325"/>
      <c r="U13" s="2091" t="s">
        <v>1090</v>
      </c>
      <c r="V13" s="2091"/>
      <c r="W13" s="2091"/>
      <c r="X13" s="2091"/>
      <c r="Y13" s="2091" t="s">
        <v>1091</v>
      </c>
      <c r="Z13" s="2091"/>
      <c r="AA13" s="2091"/>
      <c r="AB13" s="2091"/>
      <c r="AC13" s="2356"/>
      <c r="AD13" s="2356"/>
      <c r="AE13" s="2356"/>
      <c r="AF13" s="2356"/>
      <c r="AG13" s="2356"/>
      <c r="AH13" s="2356"/>
      <c r="AI13" s="2356"/>
      <c r="AJ13" s="2356"/>
      <c r="AK13" s="2356"/>
      <c r="AL13" s="2356"/>
      <c r="AM13" s="2356"/>
      <c r="AN13" s="2356"/>
      <c r="AO13" s="2356"/>
      <c r="AP13" s="2356"/>
      <c r="AQ13" s="2356"/>
      <c r="AR13" s="2356"/>
      <c r="AS13" s="2356"/>
      <c r="AT13" s="2356"/>
      <c r="AU13" s="2356"/>
      <c r="AV13" s="2356"/>
      <c r="AW13" s="2356"/>
      <c r="AX13" s="2356"/>
      <c r="AY13" s="2356"/>
      <c r="AZ13" s="2356"/>
      <c r="BA13" s="2356"/>
      <c r="BB13" s="2356"/>
      <c r="BC13" s="2356"/>
      <c r="BD13" s="2356"/>
      <c r="BE13" s="2356"/>
      <c r="BF13" s="2356"/>
      <c r="BG13" s="2356"/>
      <c r="BH13" s="2356"/>
      <c r="BI13" s="2356"/>
      <c r="BJ13" s="2356"/>
      <c r="BK13" s="2356"/>
      <c r="BL13" s="2356"/>
      <c r="BM13" s="2356"/>
      <c r="BN13" s="2356"/>
      <c r="BO13" s="2356"/>
      <c r="BP13" s="2356"/>
      <c r="BQ13" s="2356"/>
      <c r="BR13" s="2356"/>
      <c r="BS13" s="2357"/>
      <c r="BT13" s="2281" t="s">
        <v>1092</v>
      </c>
      <c r="BU13" s="2325"/>
      <c r="BV13" s="2281" t="s">
        <v>1093</v>
      </c>
      <c r="BW13" s="2325"/>
      <c r="BX13" s="2281" t="s">
        <v>1094</v>
      </c>
      <c r="BY13" s="2325"/>
      <c r="BZ13" s="2281" t="s">
        <v>1095</v>
      </c>
      <c r="CA13" s="2325"/>
      <c r="CB13" s="2281" t="s">
        <v>1096</v>
      </c>
      <c r="CC13" s="2325"/>
      <c r="CD13" s="2281" t="s">
        <v>1097</v>
      </c>
      <c r="CE13" s="2325"/>
      <c r="CF13" s="2281" t="s">
        <v>1098</v>
      </c>
      <c r="CG13" s="2325"/>
      <c r="CH13" s="2323" t="s">
        <v>1099</v>
      </c>
      <c r="CI13" s="2324"/>
      <c r="CJ13" s="2324"/>
      <c r="CK13" s="2355"/>
      <c r="CL13" s="2363"/>
      <c r="CM13" s="2356"/>
      <c r="CN13" s="2356"/>
      <c r="CO13" s="2356"/>
      <c r="CP13" s="2356"/>
      <c r="CQ13" s="2356"/>
      <c r="CR13" s="2356"/>
      <c r="CS13" s="2356"/>
      <c r="CT13" s="2356"/>
      <c r="CU13" s="2356"/>
      <c r="CV13" s="2356"/>
      <c r="CW13" s="2356"/>
      <c r="CX13" s="2357"/>
      <c r="CY13" s="2281" t="s">
        <v>1100</v>
      </c>
      <c r="CZ13" s="2325"/>
      <c r="DA13" s="2281" t="s">
        <v>1101</v>
      </c>
      <c r="DB13" s="2325"/>
      <c r="DC13" s="2281" t="s">
        <v>1102</v>
      </c>
      <c r="DD13" s="2325"/>
      <c r="DE13" s="2281" t="s">
        <v>1103</v>
      </c>
      <c r="DF13" s="2325"/>
      <c r="DG13" s="2323" t="s">
        <v>1104</v>
      </c>
      <c r="DH13" s="2324"/>
      <c r="DI13" s="2324"/>
      <c r="DJ13" s="2355"/>
      <c r="DK13" s="2363"/>
      <c r="DL13" s="2356"/>
      <c r="DM13" s="2356"/>
      <c r="DN13" s="2356"/>
      <c r="DO13" s="2356"/>
      <c r="DP13" s="2356"/>
      <c r="DQ13" s="2356"/>
      <c r="DR13" s="2356"/>
      <c r="DS13" s="2356"/>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2356"/>
      <c r="EU13" s="2356"/>
      <c r="EV13" s="2356"/>
      <c r="EW13" s="2356"/>
      <c r="EX13" s="2356"/>
      <c r="EY13" s="2356"/>
      <c r="EZ13" s="2356"/>
      <c r="FA13" s="2356"/>
      <c r="FB13" s="2356"/>
      <c r="FC13" s="2356"/>
      <c r="FD13" s="2356"/>
      <c r="FE13" s="2356"/>
      <c r="FF13" s="2356"/>
      <c r="FG13" s="2356"/>
      <c r="FH13" s="2356"/>
      <c r="FI13" s="2356"/>
      <c r="FJ13" s="2356"/>
      <c r="FK13" s="2356"/>
      <c r="FL13" s="2356"/>
      <c r="FM13" s="2356"/>
      <c r="FN13" s="2356"/>
      <c r="FO13" s="2356"/>
      <c r="FP13" s="2356"/>
      <c r="FQ13" s="2356"/>
      <c r="FR13" s="2356"/>
      <c r="FS13" s="2356"/>
      <c r="FT13" s="2356"/>
      <c r="FU13" s="2356"/>
      <c r="FV13" s="2356"/>
      <c r="FW13" s="2361"/>
      <c r="FX13" s="697"/>
      <c r="GC13" s="856">
        <v>36</v>
      </c>
    </row>
    <row r="14" spans="2:185" ht="37.9" customHeight="1">
      <c r="D14" s="868"/>
      <c r="E14" s="867"/>
      <c r="F14" s="2176"/>
      <c r="G14" s="2176"/>
      <c r="H14" s="2176"/>
      <c r="I14" s="2176"/>
      <c r="J14" s="2373"/>
      <c r="K14" s="2373"/>
      <c r="L14" s="2373"/>
      <c r="M14" s="2373"/>
      <c r="N14" s="2373"/>
      <c r="O14" s="2281" t="s">
        <v>1105</v>
      </c>
      <c r="P14" s="2325"/>
      <c r="Q14" s="2281" t="s">
        <v>1106</v>
      </c>
      <c r="R14" s="2325"/>
      <c r="S14" s="2282"/>
      <c r="T14" s="2184"/>
      <c r="U14" s="2281" t="s">
        <v>838</v>
      </c>
      <c r="V14" s="2325"/>
      <c r="W14" s="2281" t="s">
        <v>841</v>
      </c>
      <c r="X14" s="2325"/>
      <c r="Y14" s="2281" t="s">
        <v>838</v>
      </c>
      <c r="Z14" s="2325"/>
      <c r="AA14" s="2281" t="s">
        <v>848</v>
      </c>
      <c r="AB14" s="2325"/>
      <c r="AC14" s="2356"/>
      <c r="AD14" s="2356"/>
      <c r="AE14" s="2356"/>
      <c r="AF14" s="2356"/>
      <c r="AG14" s="2356"/>
      <c r="AH14" s="2356"/>
      <c r="AI14" s="2356"/>
      <c r="AJ14" s="2356"/>
      <c r="AK14" s="2356"/>
      <c r="AL14" s="2356"/>
      <c r="AM14" s="2356"/>
      <c r="AN14" s="2356"/>
      <c r="AO14" s="2356"/>
      <c r="AP14" s="2356"/>
      <c r="AQ14" s="2356"/>
      <c r="AR14" s="2356"/>
      <c r="AS14" s="2356"/>
      <c r="AT14" s="2356"/>
      <c r="AU14" s="2356"/>
      <c r="AV14" s="2356"/>
      <c r="AW14" s="2356"/>
      <c r="AX14" s="2356"/>
      <c r="AY14" s="2356"/>
      <c r="AZ14" s="2356"/>
      <c r="BA14" s="2356"/>
      <c r="BB14" s="2356"/>
      <c r="BC14" s="2356"/>
      <c r="BD14" s="2356"/>
      <c r="BE14" s="2356"/>
      <c r="BF14" s="2356"/>
      <c r="BG14" s="2356"/>
      <c r="BH14" s="2356"/>
      <c r="BI14" s="2356"/>
      <c r="BJ14" s="2356"/>
      <c r="BK14" s="2356"/>
      <c r="BL14" s="2356"/>
      <c r="BM14" s="2356"/>
      <c r="BN14" s="2356"/>
      <c r="BO14" s="2356"/>
      <c r="BP14" s="2356"/>
      <c r="BQ14" s="2356"/>
      <c r="BR14" s="2356"/>
      <c r="BS14" s="2357"/>
      <c r="BT14" s="2282"/>
      <c r="BU14" s="2184"/>
      <c r="BV14" s="2282"/>
      <c r="BW14" s="2184"/>
      <c r="BX14" s="2282"/>
      <c r="BY14" s="2184"/>
      <c r="BZ14" s="2282"/>
      <c r="CA14" s="2184"/>
      <c r="CB14" s="2282"/>
      <c r="CC14" s="2184"/>
      <c r="CD14" s="2282"/>
      <c r="CE14" s="2184"/>
      <c r="CF14" s="2282"/>
      <c r="CG14" s="2184"/>
      <c r="CH14" s="2281" t="s">
        <v>1107</v>
      </c>
      <c r="CI14" s="2325"/>
      <c r="CJ14" s="2281" t="s">
        <v>1108</v>
      </c>
      <c r="CK14" s="2325"/>
      <c r="CL14" s="2363"/>
      <c r="CM14" s="2356"/>
      <c r="CN14" s="2356"/>
      <c r="CO14" s="2356"/>
      <c r="CP14" s="2356"/>
      <c r="CQ14" s="2356"/>
      <c r="CR14" s="2356"/>
      <c r="CS14" s="2356"/>
      <c r="CT14" s="2356"/>
      <c r="CU14" s="2356"/>
      <c r="CV14" s="2356"/>
      <c r="CW14" s="2356"/>
      <c r="CX14" s="2357"/>
      <c r="CY14" s="2282"/>
      <c r="CZ14" s="2184"/>
      <c r="DA14" s="2282"/>
      <c r="DB14" s="2184"/>
      <c r="DC14" s="2282"/>
      <c r="DD14" s="2184"/>
      <c r="DE14" s="2282"/>
      <c r="DF14" s="2184"/>
      <c r="DG14" s="2281" t="s">
        <v>1109</v>
      </c>
      <c r="DH14" s="2325"/>
      <c r="DI14" s="2281" t="s">
        <v>1110</v>
      </c>
      <c r="DJ14" s="2325"/>
      <c r="DK14" s="2363"/>
      <c r="DL14" s="2356"/>
      <c r="DM14" s="2356"/>
      <c r="DN14" s="2356"/>
      <c r="DO14" s="2356"/>
      <c r="DP14" s="2356"/>
      <c r="DQ14" s="2356"/>
      <c r="DR14" s="2356"/>
      <c r="DS14" s="2356"/>
      <c r="DT14" s="2356"/>
      <c r="DU14" s="2356"/>
      <c r="DV14" s="2356"/>
      <c r="DW14" s="2356"/>
      <c r="DX14" s="2356"/>
      <c r="DY14" s="2356"/>
      <c r="DZ14" s="2356"/>
      <c r="EA14" s="2356"/>
      <c r="EB14" s="2356"/>
      <c r="EC14" s="2356"/>
      <c r="ED14" s="2356"/>
      <c r="EE14" s="2356"/>
      <c r="EF14" s="2356"/>
      <c r="EG14" s="2356"/>
      <c r="EH14" s="2356"/>
      <c r="EI14" s="2356"/>
      <c r="EJ14" s="2356"/>
      <c r="EK14" s="2356"/>
      <c r="EL14" s="2356"/>
      <c r="EM14" s="2356"/>
      <c r="EN14" s="2356"/>
      <c r="EO14" s="2356"/>
      <c r="EP14" s="2356"/>
      <c r="EQ14" s="2356"/>
      <c r="ER14" s="2356"/>
      <c r="ES14" s="2356"/>
      <c r="ET14" s="2356"/>
      <c r="EU14" s="2356"/>
      <c r="EV14" s="2356"/>
      <c r="EW14" s="2356"/>
      <c r="EX14" s="2356"/>
      <c r="EY14" s="2356"/>
      <c r="EZ14" s="2356"/>
      <c r="FA14" s="2356"/>
      <c r="FB14" s="2356"/>
      <c r="FC14" s="2356"/>
      <c r="FD14" s="2356"/>
      <c r="FE14" s="2356"/>
      <c r="FF14" s="2356"/>
      <c r="FG14" s="2356"/>
      <c r="FH14" s="2356"/>
      <c r="FI14" s="2356"/>
      <c r="FJ14" s="2356"/>
      <c r="FK14" s="2356"/>
      <c r="FL14" s="2356"/>
      <c r="FM14" s="2356"/>
      <c r="FN14" s="2356"/>
      <c r="FO14" s="2356"/>
      <c r="FP14" s="2356"/>
      <c r="FQ14" s="2356"/>
      <c r="FR14" s="2356"/>
      <c r="FS14" s="2356"/>
      <c r="FT14" s="2356"/>
      <c r="FU14" s="2356"/>
      <c r="FV14" s="2356"/>
      <c r="FW14" s="2361"/>
      <c r="FX14" s="697"/>
      <c r="GC14" s="856">
        <v>36</v>
      </c>
    </row>
    <row r="15" spans="2:185" ht="37.9" customHeight="1">
      <c r="D15" s="868"/>
      <c r="E15" s="867"/>
      <c r="F15" s="2176"/>
      <c r="G15" s="2176"/>
      <c r="H15" s="2176"/>
      <c r="I15" s="2176"/>
      <c r="J15" s="2373"/>
      <c r="K15" s="2373"/>
      <c r="L15" s="2373"/>
      <c r="M15" s="2373"/>
      <c r="N15" s="2373"/>
      <c r="O15" s="2283"/>
      <c r="P15" s="2342"/>
      <c r="Q15" s="2283"/>
      <c r="R15" s="2342"/>
      <c r="S15" s="2283"/>
      <c r="T15" s="2342"/>
      <c r="U15" s="2283"/>
      <c r="V15" s="2342"/>
      <c r="W15" s="2283"/>
      <c r="X15" s="2342"/>
      <c r="Y15" s="2283"/>
      <c r="Z15" s="2342"/>
      <c r="AA15" s="2283"/>
      <c r="AB15" s="2342"/>
      <c r="AC15" s="2356"/>
      <c r="AD15" s="2356"/>
      <c r="AE15" s="2356"/>
      <c r="AF15" s="2356"/>
      <c r="AG15" s="2356"/>
      <c r="AH15" s="2356"/>
      <c r="AI15" s="2356"/>
      <c r="AJ15" s="2356"/>
      <c r="AK15" s="2356"/>
      <c r="AL15" s="2356"/>
      <c r="AM15" s="2356"/>
      <c r="AN15" s="2356"/>
      <c r="AO15" s="2356"/>
      <c r="AP15" s="2356"/>
      <c r="AQ15" s="2356"/>
      <c r="AR15" s="2356"/>
      <c r="AS15" s="2356"/>
      <c r="AT15" s="2356"/>
      <c r="AU15" s="2356"/>
      <c r="AV15" s="2356"/>
      <c r="AW15" s="2356"/>
      <c r="AX15" s="2356"/>
      <c r="AY15" s="2356"/>
      <c r="AZ15" s="2356"/>
      <c r="BA15" s="2356"/>
      <c r="BB15" s="2356"/>
      <c r="BC15" s="2356"/>
      <c r="BD15" s="2356"/>
      <c r="BE15" s="2356"/>
      <c r="BF15" s="2356"/>
      <c r="BG15" s="2356"/>
      <c r="BH15" s="2356"/>
      <c r="BI15" s="2356"/>
      <c r="BJ15" s="2356"/>
      <c r="BK15" s="2356"/>
      <c r="BL15" s="2356"/>
      <c r="BM15" s="2356"/>
      <c r="BN15" s="2356"/>
      <c r="BO15" s="2356"/>
      <c r="BP15" s="2356"/>
      <c r="BQ15" s="2356"/>
      <c r="BR15" s="2356"/>
      <c r="BS15" s="2357"/>
      <c r="BT15" s="2283"/>
      <c r="BU15" s="2342"/>
      <c r="BV15" s="2283"/>
      <c r="BW15" s="2342"/>
      <c r="BX15" s="2283"/>
      <c r="BY15" s="2342"/>
      <c r="BZ15" s="2283"/>
      <c r="CA15" s="2342"/>
      <c r="CB15" s="2283"/>
      <c r="CC15" s="2342"/>
      <c r="CD15" s="2283"/>
      <c r="CE15" s="2342"/>
      <c r="CF15" s="2283"/>
      <c r="CG15" s="2342"/>
      <c r="CH15" s="2283"/>
      <c r="CI15" s="2342"/>
      <c r="CJ15" s="2283"/>
      <c r="CK15" s="2342"/>
      <c r="CL15" s="2363"/>
      <c r="CM15" s="2356"/>
      <c r="CN15" s="2356"/>
      <c r="CO15" s="2356"/>
      <c r="CP15" s="2356"/>
      <c r="CQ15" s="2356"/>
      <c r="CR15" s="2356"/>
      <c r="CS15" s="2356"/>
      <c r="CT15" s="2356"/>
      <c r="CU15" s="2356"/>
      <c r="CV15" s="2356"/>
      <c r="CW15" s="2356"/>
      <c r="CX15" s="2357"/>
      <c r="CY15" s="2283"/>
      <c r="CZ15" s="2342"/>
      <c r="DA15" s="2283"/>
      <c r="DB15" s="2342"/>
      <c r="DC15" s="2283"/>
      <c r="DD15" s="2342"/>
      <c r="DE15" s="2283"/>
      <c r="DF15" s="2342"/>
      <c r="DG15" s="2283"/>
      <c r="DH15" s="2342"/>
      <c r="DI15" s="2283"/>
      <c r="DJ15" s="2342"/>
      <c r="DK15" s="2363"/>
      <c r="DL15" s="2356"/>
      <c r="DM15" s="2356"/>
      <c r="DN15" s="2356"/>
      <c r="DO15" s="2356"/>
      <c r="DP15" s="2356"/>
      <c r="DQ15" s="2356"/>
      <c r="DR15" s="2356"/>
      <c r="DS15" s="2356"/>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2356"/>
      <c r="EU15" s="2356"/>
      <c r="EV15" s="2356"/>
      <c r="EW15" s="2356"/>
      <c r="EX15" s="2356"/>
      <c r="EY15" s="2356"/>
      <c r="EZ15" s="2356"/>
      <c r="FA15" s="2356"/>
      <c r="FB15" s="2356"/>
      <c r="FC15" s="2356"/>
      <c r="FD15" s="2356"/>
      <c r="FE15" s="2356"/>
      <c r="FF15" s="2356"/>
      <c r="FG15" s="2356"/>
      <c r="FH15" s="2356"/>
      <c r="FI15" s="2356"/>
      <c r="FJ15" s="2356"/>
      <c r="FK15" s="2356"/>
      <c r="FL15" s="2356"/>
      <c r="FM15" s="2356"/>
      <c r="FN15" s="2356"/>
      <c r="FO15" s="2356"/>
      <c r="FP15" s="2356"/>
      <c r="FQ15" s="2356"/>
      <c r="FR15" s="2356"/>
      <c r="FS15" s="2356"/>
      <c r="FT15" s="2356"/>
      <c r="FU15" s="2356"/>
      <c r="FV15" s="2356"/>
      <c r="FW15" s="2361"/>
      <c r="FX15" s="697"/>
      <c r="GC15" s="856">
        <v>36</v>
      </c>
    </row>
    <row r="16" spans="2:185" ht="12.75" customHeight="1">
      <c r="D16" s="868"/>
      <c r="E16" s="867"/>
      <c r="F16" s="2176"/>
      <c r="G16" s="2176"/>
      <c r="H16" s="2176"/>
      <c r="I16" s="2176"/>
      <c r="J16" s="2373"/>
      <c r="K16" s="2373"/>
      <c r="L16" s="2373"/>
      <c r="M16" s="2373"/>
      <c r="N16" s="2373"/>
      <c r="O16" s="2323" t="s">
        <v>828</v>
      </c>
      <c r="P16" s="2355"/>
      <c r="Q16" s="2323" t="s">
        <v>830</v>
      </c>
      <c r="R16" s="2355"/>
      <c r="S16" s="2323" t="s">
        <v>834</v>
      </c>
      <c r="T16" s="2355"/>
      <c r="U16" s="2323" t="s">
        <v>839</v>
      </c>
      <c r="V16" s="2355"/>
      <c r="W16" s="2323" t="s">
        <v>842</v>
      </c>
      <c r="X16" s="2355"/>
      <c r="Y16" s="2323" t="s">
        <v>846</v>
      </c>
      <c r="Z16" s="2355"/>
      <c r="AA16" s="2323" t="s">
        <v>849</v>
      </c>
      <c r="AB16" s="2355"/>
      <c r="AC16" s="2356"/>
      <c r="AD16" s="2356"/>
      <c r="AE16" s="2356"/>
      <c r="AF16" s="2356"/>
      <c r="AG16" s="2356"/>
      <c r="AH16" s="2356"/>
      <c r="AI16" s="2356"/>
      <c r="AJ16" s="2356"/>
      <c r="AK16" s="2356"/>
      <c r="AL16" s="2356"/>
      <c r="AM16" s="2356"/>
      <c r="AN16" s="2356"/>
      <c r="AO16" s="2356"/>
      <c r="AP16" s="2356"/>
      <c r="AQ16" s="2356"/>
      <c r="AR16" s="2356"/>
      <c r="AS16" s="2356"/>
      <c r="AT16" s="2356"/>
      <c r="AU16" s="2356"/>
      <c r="AV16" s="2356"/>
      <c r="AW16" s="2356"/>
      <c r="AX16" s="2356"/>
      <c r="AY16" s="2356"/>
      <c r="AZ16" s="2356"/>
      <c r="BA16" s="2356"/>
      <c r="BB16" s="2356"/>
      <c r="BC16" s="2356"/>
      <c r="BD16" s="2356"/>
      <c r="BE16" s="2356"/>
      <c r="BF16" s="2356"/>
      <c r="BG16" s="2356"/>
      <c r="BH16" s="2356"/>
      <c r="BI16" s="2356"/>
      <c r="BJ16" s="2356"/>
      <c r="BK16" s="2356"/>
      <c r="BL16" s="2356"/>
      <c r="BM16" s="2356"/>
      <c r="BN16" s="2356"/>
      <c r="BO16" s="2356"/>
      <c r="BP16" s="2356"/>
      <c r="BQ16" s="2356"/>
      <c r="BR16" s="2356"/>
      <c r="BS16" s="2357"/>
      <c r="BT16" s="2323" t="s">
        <v>560</v>
      </c>
      <c r="BU16" s="2355"/>
      <c r="BV16" s="2323" t="s">
        <v>560</v>
      </c>
      <c r="BW16" s="2355"/>
      <c r="BX16" s="2323" t="s">
        <v>560</v>
      </c>
      <c r="BY16" s="2355"/>
      <c r="BZ16" s="2323" t="s">
        <v>560</v>
      </c>
      <c r="CA16" s="2355"/>
      <c r="CB16" s="2323" t="s">
        <v>1111</v>
      </c>
      <c r="CC16" s="2355"/>
      <c r="CD16" s="2323" t="s">
        <v>560</v>
      </c>
      <c r="CE16" s="2355"/>
      <c r="CF16" s="2323" t="s">
        <v>1112</v>
      </c>
      <c r="CG16" s="2355"/>
      <c r="CH16" s="2323" t="s">
        <v>1113</v>
      </c>
      <c r="CI16" s="2355"/>
      <c r="CJ16" s="2323" t="s">
        <v>1113</v>
      </c>
      <c r="CK16" s="2355"/>
      <c r="CL16" s="2363"/>
      <c r="CM16" s="2356"/>
      <c r="CN16" s="2356"/>
      <c r="CO16" s="2356"/>
      <c r="CP16" s="2356"/>
      <c r="CQ16" s="2356"/>
      <c r="CR16" s="2356"/>
      <c r="CS16" s="2356"/>
      <c r="CT16" s="2356"/>
      <c r="CU16" s="2356"/>
      <c r="CV16" s="2356"/>
      <c r="CW16" s="2356"/>
      <c r="CX16" s="2357"/>
      <c r="CY16" s="2281" t="s">
        <v>560</v>
      </c>
      <c r="CZ16" s="2325"/>
      <c r="DA16" s="2281" t="s">
        <v>560</v>
      </c>
      <c r="DB16" s="2325"/>
      <c r="DC16" s="2281" t="s">
        <v>560</v>
      </c>
      <c r="DD16" s="2325"/>
      <c r="DE16" s="2323" t="s">
        <v>1111</v>
      </c>
      <c r="DF16" s="2355"/>
      <c r="DG16" s="2323" t="s">
        <v>1114</v>
      </c>
      <c r="DH16" s="2355"/>
      <c r="DI16" s="2323" t="s">
        <v>1114</v>
      </c>
      <c r="DJ16" s="2355"/>
      <c r="DK16" s="2363"/>
      <c r="DL16" s="2356"/>
      <c r="DM16" s="2356"/>
      <c r="DN16" s="2356"/>
      <c r="DO16" s="2356"/>
      <c r="DP16" s="2356"/>
      <c r="DQ16" s="2356"/>
      <c r="DR16" s="2356"/>
      <c r="DS16" s="2356"/>
      <c r="DT16" s="2356"/>
      <c r="DU16" s="2356"/>
      <c r="DV16" s="2356"/>
      <c r="DW16" s="2356"/>
      <c r="DX16" s="2356"/>
      <c r="DY16" s="2356"/>
      <c r="DZ16" s="2356"/>
      <c r="EA16" s="2356"/>
      <c r="EB16" s="2356"/>
      <c r="EC16" s="2356"/>
      <c r="ED16" s="2356"/>
      <c r="EE16" s="2356"/>
      <c r="EF16" s="2356"/>
      <c r="EG16" s="2356"/>
      <c r="EH16" s="2356"/>
      <c r="EI16" s="2356"/>
      <c r="EJ16" s="2356"/>
      <c r="EK16" s="2356"/>
      <c r="EL16" s="2356"/>
      <c r="EM16" s="2356"/>
      <c r="EN16" s="2356"/>
      <c r="EO16" s="2356"/>
      <c r="EP16" s="2356"/>
      <c r="EQ16" s="2356"/>
      <c r="ER16" s="2356"/>
      <c r="ES16" s="2356"/>
      <c r="ET16" s="2356"/>
      <c r="EU16" s="2356"/>
      <c r="EV16" s="2356"/>
      <c r="EW16" s="2356"/>
      <c r="EX16" s="2356"/>
      <c r="EY16" s="2356"/>
      <c r="EZ16" s="2356"/>
      <c r="FA16" s="2356"/>
      <c r="FB16" s="2356"/>
      <c r="FC16" s="2356"/>
      <c r="FD16" s="2356"/>
      <c r="FE16" s="2356"/>
      <c r="FF16" s="2356"/>
      <c r="FG16" s="2356"/>
      <c r="FH16" s="2356"/>
      <c r="FI16" s="2356"/>
      <c r="FJ16" s="2356"/>
      <c r="FK16" s="2356"/>
      <c r="FL16" s="2356"/>
      <c r="FM16" s="2356"/>
      <c r="FN16" s="2356"/>
      <c r="FO16" s="2356"/>
      <c r="FP16" s="2356"/>
      <c r="FQ16" s="2356"/>
      <c r="FR16" s="2356"/>
      <c r="FS16" s="2356"/>
      <c r="FT16" s="2356"/>
      <c r="FU16" s="2356"/>
      <c r="FV16" s="2356"/>
      <c r="FW16" s="2361"/>
      <c r="FX16" s="697"/>
      <c r="GC16" s="856">
        <v>12</v>
      </c>
    </row>
    <row r="17" spans="1:185" ht="15.75" customHeight="1">
      <c r="E17" s="867"/>
      <c r="F17" s="2176"/>
      <c r="G17" s="2176"/>
      <c r="H17" s="2176"/>
      <c r="I17" s="2176"/>
      <c r="J17" s="2373"/>
      <c r="K17" s="2373"/>
      <c r="L17" s="2373"/>
      <c r="M17" s="2373"/>
      <c r="N17" s="2373"/>
      <c r="O17" s="1118" t="s">
        <v>1115</v>
      </c>
      <c r="P17" s="1118" t="s">
        <v>1116</v>
      </c>
      <c r="Q17" s="1118" t="s">
        <v>1115</v>
      </c>
      <c r="R17" s="1118" t="s">
        <v>1116</v>
      </c>
      <c r="S17" s="1118" t="s">
        <v>1115</v>
      </c>
      <c r="T17" s="1118" t="s">
        <v>1116</v>
      </c>
      <c r="U17" s="1118" t="s">
        <v>1115</v>
      </c>
      <c r="V17" s="1118" t="s">
        <v>1116</v>
      </c>
      <c r="W17" s="1118" t="s">
        <v>1115</v>
      </c>
      <c r="X17" s="1118" t="s">
        <v>1116</v>
      </c>
      <c r="Y17" s="1118" t="s">
        <v>1115</v>
      </c>
      <c r="Z17" s="1118" t="s">
        <v>1116</v>
      </c>
      <c r="AA17" s="1118" t="s">
        <v>1115</v>
      </c>
      <c r="AB17" s="1118" t="s">
        <v>1116</v>
      </c>
      <c r="AC17" s="2356"/>
      <c r="AD17" s="2356"/>
      <c r="AE17" s="2356"/>
      <c r="AF17" s="2356"/>
      <c r="AG17" s="2356"/>
      <c r="AH17" s="2356"/>
      <c r="AI17" s="2356"/>
      <c r="AJ17" s="2356"/>
      <c r="AK17" s="2356"/>
      <c r="AL17" s="2356"/>
      <c r="AM17" s="2356"/>
      <c r="AN17" s="2356"/>
      <c r="AO17" s="2356"/>
      <c r="AP17" s="2356"/>
      <c r="AQ17" s="2356"/>
      <c r="AR17" s="2356"/>
      <c r="AS17" s="2356"/>
      <c r="AT17" s="2356"/>
      <c r="AU17" s="2356"/>
      <c r="AV17" s="2356"/>
      <c r="AW17" s="2356"/>
      <c r="AX17" s="2356"/>
      <c r="AY17" s="2356"/>
      <c r="AZ17" s="2356"/>
      <c r="BA17" s="2356"/>
      <c r="BB17" s="2356"/>
      <c r="BC17" s="2356"/>
      <c r="BD17" s="2356"/>
      <c r="BE17" s="2356"/>
      <c r="BF17" s="2356"/>
      <c r="BG17" s="2356"/>
      <c r="BH17" s="2356"/>
      <c r="BI17" s="2356"/>
      <c r="BJ17" s="2356"/>
      <c r="BK17" s="2356"/>
      <c r="BL17" s="2356"/>
      <c r="BM17" s="2356"/>
      <c r="BN17" s="2356"/>
      <c r="BO17" s="2356"/>
      <c r="BP17" s="2356"/>
      <c r="BQ17" s="2356"/>
      <c r="BR17" s="2356"/>
      <c r="BS17" s="2357"/>
      <c r="BT17" s="1118" t="s">
        <v>1115</v>
      </c>
      <c r="BU17" s="1118" t="s">
        <v>1116</v>
      </c>
      <c r="BV17" s="1118" t="s">
        <v>1115</v>
      </c>
      <c r="BW17" s="1118" t="s">
        <v>1116</v>
      </c>
      <c r="BX17" s="1118" t="s">
        <v>1115</v>
      </c>
      <c r="BY17" s="1118" t="s">
        <v>1116</v>
      </c>
      <c r="BZ17" s="1118" t="s">
        <v>1115</v>
      </c>
      <c r="CA17" s="1118" t="s">
        <v>1116</v>
      </c>
      <c r="CB17" s="1118" t="s">
        <v>1115</v>
      </c>
      <c r="CC17" s="1118" t="s">
        <v>1116</v>
      </c>
      <c r="CD17" s="1118" t="s">
        <v>1115</v>
      </c>
      <c r="CE17" s="1118" t="s">
        <v>1116</v>
      </c>
      <c r="CF17" s="1118" t="s">
        <v>1115</v>
      </c>
      <c r="CG17" s="1118" t="s">
        <v>1116</v>
      </c>
      <c r="CH17" s="1118" t="s">
        <v>1115</v>
      </c>
      <c r="CI17" s="1118" t="s">
        <v>1116</v>
      </c>
      <c r="CJ17" s="1118" t="s">
        <v>1115</v>
      </c>
      <c r="CK17" s="1118" t="s">
        <v>1116</v>
      </c>
      <c r="CL17" s="2363"/>
      <c r="CM17" s="2356"/>
      <c r="CN17" s="2356"/>
      <c r="CO17" s="2356"/>
      <c r="CP17" s="2356"/>
      <c r="CQ17" s="2356"/>
      <c r="CR17" s="2356"/>
      <c r="CS17" s="2356"/>
      <c r="CT17" s="2356"/>
      <c r="CU17" s="2356"/>
      <c r="CV17" s="2356"/>
      <c r="CW17" s="2356"/>
      <c r="CX17" s="2357"/>
      <c r="CY17" s="1118" t="s">
        <v>1115</v>
      </c>
      <c r="CZ17" s="1118" t="s">
        <v>1116</v>
      </c>
      <c r="DA17" s="1118" t="s">
        <v>1115</v>
      </c>
      <c r="DB17" s="1118" t="s">
        <v>1116</v>
      </c>
      <c r="DC17" s="1118" t="s">
        <v>1115</v>
      </c>
      <c r="DD17" s="1118" t="s">
        <v>1116</v>
      </c>
      <c r="DE17" s="1118" t="s">
        <v>1115</v>
      </c>
      <c r="DF17" s="1118" t="s">
        <v>1116</v>
      </c>
      <c r="DG17" s="1118" t="s">
        <v>1115</v>
      </c>
      <c r="DH17" s="1118" t="s">
        <v>1116</v>
      </c>
      <c r="DI17" s="1118" t="s">
        <v>1115</v>
      </c>
      <c r="DJ17" s="1118" t="s">
        <v>1116</v>
      </c>
      <c r="DK17" s="2363"/>
      <c r="DL17" s="2356"/>
      <c r="DM17" s="2356"/>
      <c r="DN17" s="2356"/>
      <c r="DO17" s="2356"/>
      <c r="DP17" s="2356"/>
      <c r="DQ17" s="2356"/>
      <c r="DR17" s="2356"/>
      <c r="DS17" s="2356"/>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2356"/>
      <c r="EU17" s="2356"/>
      <c r="EV17" s="2356"/>
      <c r="EW17" s="2356"/>
      <c r="EX17" s="2356"/>
      <c r="EY17" s="2356"/>
      <c r="EZ17" s="2356"/>
      <c r="FA17" s="2356"/>
      <c r="FB17" s="2356"/>
      <c r="FC17" s="2356"/>
      <c r="FD17" s="2356"/>
      <c r="FE17" s="2356"/>
      <c r="FF17" s="2356"/>
      <c r="FG17" s="2356"/>
      <c r="FH17" s="2356"/>
      <c r="FI17" s="2356"/>
      <c r="FJ17" s="2356"/>
      <c r="FK17" s="2356"/>
      <c r="FL17" s="2356"/>
      <c r="FM17" s="2356"/>
      <c r="FN17" s="2356"/>
      <c r="FO17" s="2356"/>
      <c r="FP17" s="2356"/>
      <c r="FQ17" s="2356"/>
      <c r="FR17" s="2356"/>
      <c r="FS17" s="2356"/>
      <c r="FT17" s="2356"/>
      <c r="FU17" s="2356"/>
      <c r="FV17" s="2356"/>
      <c r="FW17" s="236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3"/>
  <sheetViews>
    <sheetView showGridLines="0" tabSelected="1" zoomScale="90" workbookViewId="0">
      <pane xSplit="7" ySplit="14" topLeftCell="H15" activePane="bottomRight" state="frozen"/>
      <selection pane="topRight" activeCell="H1" sqref="H1"/>
      <selection pane="bottomLeft" activeCell="A15" sqref="A15"/>
      <selection pane="bottomRight" activeCell="D4" sqref="D4:I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42.42578125" style="1562" customWidth="1"/>
    <col min="10" max="10" width="93" style="1293" customWidth="1"/>
    <col min="11" max="18" width="10" style="1562" customWidth="1"/>
    <col min="19" max="19" width="10" style="612" customWidth="1"/>
    <col min="20" max="20" width="10.5703125" style="1562" hidden="1"/>
  </cols>
  <sheetData>
    <row r="1" spans="1:20" s="1293" customFormat="1" ht="15" hidden="1" customHeight="1">
      <c r="C1" s="609"/>
      <c r="H1" s="354">
        <v>4</v>
      </c>
      <c r="S1" s="357"/>
      <c r="T1" s="354" t="s">
        <v>14</v>
      </c>
    </row>
    <row r="2" spans="1:20" ht="22.5" hidden="1" customHeight="1">
      <c r="C2" s="1851" t="s">
        <v>120</v>
      </c>
      <c r="D2" s="476"/>
      <c r="E2" s="600"/>
      <c r="F2" s="1688" t="str">
        <f>IF(TEMPLATE_SPHERE="HEAT","Гкал/час","тыс. куб. м/сутки")</f>
        <v>тыс. куб. м/сутки</v>
      </c>
      <c r="G2" s="617"/>
      <c r="H2" s="617"/>
      <c r="I2" s="617"/>
      <c r="J2" s="226"/>
      <c r="T2" s="442">
        <v>0</v>
      </c>
    </row>
    <row r="3" spans="1:20" s="1293" customFormat="1" ht="15" hidden="1" customHeight="1">
      <c r="C3" s="609"/>
      <c r="S3" s="357"/>
      <c r="T3" s="354">
        <v>0</v>
      </c>
    </row>
    <row r="4" spans="1:20" ht="15.75" customHeight="1">
      <c r="C4" s="113"/>
      <c r="D4" s="446"/>
      <c r="E4" s="446"/>
      <c r="F4" s="446"/>
      <c r="G4" s="446"/>
      <c r="H4" s="446"/>
      <c r="T4" s="442">
        <v>15</v>
      </c>
    </row>
    <row r="5" spans="1:20" ht="39.75" customHeight="1">
      <c r="C5" s="113"/>
      <c r="D5" s="220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00"/>
      <c r="F5" s="2200"/>
      <c r="G5" s="2200"/>
      <c r="H5" s="2200"/>
      <c r="I5" s="2004"/>
      <c r="J5" s="474"/>
      <c r="T5" s="442">
        <v>38</v>
      </c>
    </row>
    <row r="6" spans="1:20" ht="15.75" customHeight="1">
      <c r="C6" s="113"/>
      <c r="D6" s="2172" t="str">
        <f>IF(org=0,"Не определено",org)</f>
        <v>МУП "Михайловское водопроводно-канализационное хозяйство"</v>
      </c>
      <c r="E6" s="2172"/>
      <c r="F6" s="2172"/>
      <c r="G6" s="2172"/>
      <c r="H6" s="2172"/>
      <c r="I6" s="2005"/>
      <c r="J6" s="474"/>
      <c r="T6" s="442">
        <v>15</v>
      </c>
    </row>
    <row r="7" spans="1:20" s="1562" customFormat="1" ht="15.75" customHeight="1">
      <c r="A7" s="694"/>
      <c r="C7" s="113"/>
      <c r="D7" s="613"/>
      <c r="E7" s="613"/>
      <c r="F7" s="613"/>
      <c r="G7" s="613"/>
      <c r="H7" s="689"/>
      <c r="I7" s="2018" t="s">
        <v>22</v>
      </c>
      <c r="J7" s="474"/>
      <c r="S7" s="612"/>
      <c r="T7" s="693">
        <v>15</v>
      </c>
    </row>
    <row r="8" spans="1:20" ht="1.1499999999999999" customHeight="1">
      <c r="C8" s="113"/>
      <c r="D8" s="446"/>
      <c r="E8" s="446"/>
      <c r="F8" s="446"/>
      <c r="G8" s="446"/>
      <c r="H8" s="474" t="s">
        <v>117</v>
      </c>
      <c r="I8" s="1562" t="s">
        <v>122</v>
      </c>
      <c r="T8" s="442">
        <v>1</v>
      </c>
    </row>
    <row r="9" spans="1:20" ht="15.75" customHeight="1">
      <c r="C9" s="113"/>
      <c r="D9" s="648"/>
      <c r="E9" s="2306" t="s">
        <v>104</v>
      </c>
      <c r="F9" s="2307"/>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водоснабжения</v>
      </c>
      <c r="I9" s="2016" t="str">
        <f>IF(I8="","",INDEX(DIFFERENTIATION_UNMERGE_VD,MATCH(I8,DIFFERENTIATION_ID_DIFF,0)))</f>
        <v>Подключение (технологическое присоединение) к централизованной системе водоснабжения</v>
      </c>
      <c r="J9" s="2091" t="s">
        <v>303</v>
      </c>
      <c r="T9" s="442">
        <v>15</v>
      </c>
    </row>
    <row r="10" spans="1:20" s="1562" customFormat="1" ht="15.75" customHeight="1">
      <c r="A10" s="694"/>
      <c r="C10" s="113"/>
      <c r="D10" s="648"/>
      <c r="E10" s="2306" t="s">
        <v>566</v>
      </c>
      <c r="F10" s="2307"/>
      <c r="G10" s="747" t="str">
        <f>IF(G8="","",INDEX(DIFFERENTIATION_UNMERGE_AREA,MATCH(G8,DIFFERENTIATION_ID_DIFF,0)))</f>
        <v/>
      </c>
      <c r="H10" s="747" t="str">
        <f>IF(H8="","",INDEX(DIFFERENTIATION_UNMERGE_AREA,MATCH(H8,DIFFERENTIATION_ID_DIFF,0)))</f>
        <v>без дифференциации</v>
      </c>
      <c r="I10" s="2016" t="str">
        <f>IF(I8="","",INDEX(DIFFERENTIATION_UNMERGE_AREA,MATCH(I8,DIFFERENTIATION_ID_DIFF,0)))</f>
        <v>без дифференциации</v>
      </c>
      <c r="J10" s="2091"/>
      <c r="S10" s="612"/>
      <c r="T10" s="693">
        <v>15</v>
      </c>
    </row>
    <row r="11" spans="1:20" s="1562" customFormat="1" ht="31.5" customHeight="1">
      <c r="A11" s="694"/>
      <c r="C11" s="113"/>
      <c r="D11" s="648"/>
      <c r="E11" s="2306" t="s">
        <v>567</v>
      </c>
      <c r="F11" s="2307"/>
      <c r="G11" s="747" t="str">
        <f>IF(G8="","",INDEX(DIFFERENTIATION_UNMERGE_SYSTEM,MATCH(G8,DIFFERENTIATION_ID_DIFF,0)))</f>
        <v/>
      </c>
      <c r="H11" s="747" t="str">
        <f>IF(H8="","",INDEX(DIFFERENTIATION_UNMERGE_SYSTEM,MATCH(H8,DIFFERENTIATION_ID_DIFF,0)))</f>
        <v>Централизованная система водоснабжения (питьевая вода)</v>
      </c>
      <c r="I11" s="2016" t="str">
        <f>IF(I8="","",INDEX(DIFFERENTIATION_UNMERGE_SYSTEM,MATCH(I8,DIFFERENTIATION_ID_DIFF,0)))</f>
        <v>Централизованная система водоснабжения (техническая вода)</v>
      </c>
      <c r="J11" s="2091"/>
      <c r="S11" s="612"/>
      <c r="T11" s="693">
        <v>15</v>
      </c>
    </row>
    <row r="12" spans="1:20" s="1562" customFormat="1" ht="15.75" customHeight="1">
      <c r="A12" s="694"/>
      <c r="C12" s="113"/>
      <c r="D12" s="2308" t="s">
        <v>302</v>
      </c>
      <c r="E12" s="2309"/>
      <c r="F12" s="2309"/>
      <c r="G12" s="817"/>
      <c r="H12" s="817"/>
      <c r="I12" s="2013"/>
      <c r="J12" s="2091"/>
      <c r="S12" s="612"/>
      <c r="T12" s="693">
        <v>15</v>
      </c>
    </row>
    <row r="13" spans="1:20" ht="35.65" customHeight="1">
      <c r="C13" s="113"/>
      <c r="D13" s="696" t="s">
        <v>87</v>
      </c>
      <c r="E13" s="695" t="s">
        <v>304</v>
      </c>
      <c r="F13" s="695" t="s">
        <v>568</v>
      </c>
      <c r="G13" s="739" t="s">
        <v>305</v>
      </c>
      <c r="H13" s="691" t="s">
        <v>305</v>
      </c>
      <c r="I13" s="2007" t="s">
        <v>305</v>
      </c>
      <c r="J13" s="2091"/>
      <c r="T13" s="442">
        <v>34</v>
      </c>
    </row>
    <row r="14" spans="1:20" ht="15" hidden="1" customHeight="1">
      <c r="C14" s="113"/>
      <c r="D14" s="530" t="s">
        <v>108</v>
      </c>
      <c r="E14" s="530" t="s">
        <v>109</v>
      </c>
      <c r="F14" s="530" t="s">
        <v>89</v>
      </c>
      <c r="G14" s="596" t="str">
        <f>G1&amp;".1"</f>
        <v>.1</v>
      </c>
      <c r="H14" s="596" t="str">
        <f>H1&amp;".1"</f>
        <v>4.1</v>
      </c>
      <c r="I14" s="620" t="str">
        <f>I1&amp;".1"</f>
        <v>.1</v>
      </c>
      <c r="J14" s="226"/>
      <c r="T14" s="442">
        <v>0</v>
      </c>
    </row>
    <row r="15" spans="1:20" ht="15.75" customHeight="1">
      <c r="A15" s="442"/>
      <c r="C15" s="463"/>
      <c r="D15" s="458">
        <v>1</v>
      </c>
      <c r="E15" s="1853" t="str">
        <f>TP_P_A</f>
        <v xml:space="preserve">Количество поданных заявлений </v>
      </c>
      <c r="F15" s="458" t="s">
        <v>1117</v>
      </c>
      <c r="G15" s="622"/>
      <c r="H15" s="622">
        <v>39</v>
      </c>
      <c r="I15" s="622">
        <v>1</v>
      </c>
      <c r="J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5" s="442">
        <v>15</v>
      </c>
    </row>
    <row r="16" spans="1:20" ht="15.75" customHeight="1">
      <c r="A16" s="442"/>
      <c r="C16" s="463"/>
      <c r="D16" s="458">
        <v>2</v>
      </c>
      <c r="E16" s="1853" t="str">
        <f>TP_P_B</f>
        <v xml:space="preserve">Количество исполненных заявлений </v>
      </c>
      <c r="F16" s="458" t="s">
        <v>1117</v>
      </c>
      <c r="G16" s="622"/>
      <c r="H16" s="622">
        <v>30</v>
      </c>
      <c r="I16" s="622">
        <v>3</v>
      </c>
      <c r="J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T16" s="442">
        <v>15</v>
      </c>
    </row>
    <row r="17" spans="1:20"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1117</v>
      </c>
      <c r="G17" s="622"/>
      <c r="H17" s="622">
        <v>0</v>
      </c>
      <c r="I17" s="622">
        <v>0</v>
      </c>
      <c r="J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T17" s="442">
        <v>74</v>
      </c>
    </row>
    <row r="18" spans="1:20"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308</v>
      </c>
      <c r="G18" s="623"/>
      <c r="H18" s="623" t="s">
        <v>19</v>
      </c>
      <c r="I18" s="2012" t="s">
        <v>19</v>
      </c>
      <c r="J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2">
        <v>52</v>
      </c>
    </row>
    <row r="19" spans="1:20"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624">
        <f>SUM(I20:I22)</f>
        <v>0</v>
      </c>
      <c r="J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T19" s="442">
        <v>57</v>
      </c>
    </row>
    <row r="20" spans="1:20" ht="15" hidden="1" customHeight="1">
      <c r="D20" s="446" t="s">
        <v>1118</v>
      </c>
      <c r="E20" s="625"/>
      <c r="F20" s="446"/>
      <c r="G20" s="446"/>
      <c r="H20" s="446"/>
      <c r="J20" s="1690"/>
      <c r="T20" s="442">
        <v>0</v>
      </c>
    </row>
    <row r="21" spans="1:20" ht="29.25" customHeight="1">
      <c r="C21" s="388"/>
      <c r="D21" s="476" t="s">
        <v>315</v>
      </c>
      <c r="E21" s="607" t="s">
        <v>1119</v>
      </c>
      <c r="F21" s="1688" t="str">
        <f>IF(TEMPLATE_SPHERE="HEAT","Гкал/час","тыс. куб. м/сутки")</f>
        <v>тыс. куб. м/сутки</v>
      </c>
      <c r="G21" s="617"/>
      <c r="H21" s="617">
        <v>0</v>
      </c>
      <c r="I21" s="617">
        <v>0</v>
      </c>
      <c r="J21" s="213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T21" s="442">
        <v>28</v>
      </c>
    </row>
    <row r="22" spans="1:20" ht="15.75" customHeight="1">
      <c r="A22" s="442"/>
      <c r="C22" s="442"/>
      <c r="D22" s="284"/>
      <c r="E22" s="517" t="s">
        <v>1120</v>
      </c>
      <c r="F22" s="509"/>
      <c r="G22" s="509"/>
      <c r="H22" s="509"/>
      <c r="I22" s="2054"/>
      <c r="J22" s="2137"/>
      <c r="S22" s="442"/>
      <c r="T22" s="442">
        <v>15</v>
      </c>
    </row>
    <row r="23" spans="1:20" ht="22.5" hidden="1" customHeight="1">
      <c r="A23" s="386" t="s">
        <v>81</v>
      </c>
      <c r="B23" s="442">
        <v>0</v>
      </c>
      <c r="C23" s="620">
        <v>4</v>
      </c>
      <c r="D23" s="442">
        <v>6</v>
      </c>
      <c r="E23" s="442">
        <v>36</v>
      </c>
      <c r="F23" s="442">
        <v>9</v>
      </c>
      <c r="G23" s="693">
        <v>0</v>
      </c>
      <c r="H23" s="442">
        <v>40</v>
      </c>
      <c r="I23" s="1562">
        <v>0</v>
      </c>
      <c r="J23" s="354">
        <v>93</v>
      </c>
      <c r="K23" s="442">
        <v>10</v>
      </c>
      <c r="L23" s="442">
        <v>10</v>
      </c>
      <c r="M23" s="442">
        <v>10</v>
      </c>
      <c r="N23" s="442">
        <v>10</v>
      </c>
      <c r="O23" s="442">
        <v>10</v>
      </c>
      <c r="P23" s="442">
        <v>10</v>
      </c>
      <c r="Q23" s="442">
        <v>10</v>
      </c>
      <c r="R23" s="442">
        <v>10</v>
      </c>
      <c r="S23" s="612">
        <v>10</v>
      </c>
      <c r="T23" s="442">
        <v>23</v>
      </c>
    </row>
  </sheetData>
  <sheetProtection formatColumns="0" formatRows="0" insertRows="0" deleteColumns="0" deleteRows="0" sort="0" autoFilter="0"/>
  <mergeCells count="8">
    <mergeCell ref="J21:J22"/>
    <mergeCell ref="J9: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I18">
      <formula1>900</formula1>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decimal" allowBlank="1" showErrorMessage="1" errorTitle="Ошибка" error="Допускается ввод только действительных чисел!" sqref="G2:I2 G21:I21">
      <formula1>-9.99999999999999E+23</formula1>
      <formula2>9.99999999999999E+23</formula2>
    </dataValidation>
  </dataValidations>
  <pageMargins left="0.70866141732283472" right="0.70866141732283472" top="0.55118110236220474" bottom="0.55118110236220474" header="0.31496062992125984" footer="0.31496062992125984"/>
  <pageSetup paperSize="9"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41"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42"/>
      <c r="F5" s="2142"/>
      <c r="G5" s="2143"/>
      <c r="Q5" s="22">
        <v>28</v>
      </c>
    </row>
    <row r="6" spans="1:17" s="1562" customFormat="1" ht="18.75" customHeight="1">
      <c r="A6" s="812"/>
      <c r="B6" s="354"/>
      <c r="C6" s="313"/>
      <c r="D6" s="2194" t="str">
        <f>IF(org=0,"Не определено",org)</f>
        <v>МУП "Михайловское водопроводно-канализационное хозяйство"</v>
      </c>
      <c r="E6" s="2195"/>
      <c r="F6" s="2195"/>
      <c r="G6" s="2196"/>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80" t="s">
        <v>302</v>
      </c>
      <c r="E9" s="2180"/>
      <c r="F9" s="2180"/>
      <c r="G9" s="2326" t="s">
        <v>303</v>
      </c>
      <c r="Q9" s="22">
        <v>14</v>
      </c>
    </row>
    <row r="10" spans="1:17" ht="24" customHeight="1">
      <c r="C10" s="35"/>
      <c r="D10" s="44" t="s">
        <v>87</v>
      </c>
      <c r="E10" s="47" t="s">
        <v>304</v>
      </c>
      <c r="F10" s="47" t="s">
        <v>392</v>
      </c>
      <c r="G10" s="232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308</v>
      </c>
      <c r="G12" s="88"/>
      <c r="Q12" s="22">
        <v>62</v>
      </c>
    </row>
    <row r="13" spans="1:17" ht="24" customHeight="1">
      <c r="A13" s="129"/>
      <c r="C13" s="35"/>
      <c r="D13" s="84" t="s">
        <v>1024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308</v>
      </c>
      <c r="G13" s="88"/>
      <c r="Q13" s="22">
        <v>23</v>
      </c>
    </row>
    <row r="14" spans="1:17" ht="14.65" customHeight="1">
      <c r="A14" s="129"/>
      <c r="C14" s="35"/>
      <c r="D14" s="84" t="s">
        <v>1060</v>
      </c>
      <c r="E14" s="132"/>
      <c r="F14" s="150"/>
      <c r="G14" s="213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1121</v>
      </c>
      <c r="F15" s="138"/>
      <c r="G15" s="2137"/>
      <c r="Q15" s="22">
        <v>15</v>
      </c>
    </row>
    <row r="16" spans="1:17" ht="14.65" customHeight="1">
      <c r="A16" s="129"/>
      <c r="C16" s="35"/>
      <c r="D16" s="84" t="s">
        <v>1026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308</v>
      </c>
      <c r="G16" s="274"/>
      <c r="Q16" s="22">
        <v>14</v>
      </c>
    </row>
    <row r="17" spans="1:17" ht="14.65" customHeight="1">
      <c r="A17" s="129"/>
      <c r="C17" s="35"/>
      <c r="D17" s="84" t="s">
        <v>1068</v>
      </c>
      <c r="E17" s="132"/>
      <c r="F17" s="322"/>
      <c r="G17" s="213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1122</v>
      </c>
      <c r="F18" s="275"/>
      <c r="G18" s="2137"/>
      <c r="I18" s="287"/>
      <c r="J18" s="287"/>
      <c r="Q18" s="279">
        <v>21</v>
      </c>
    </row>
    <row r="19" spans="1:17" s="1562" customFormat="1" ht="256.5" hidden="1" customHeight="1">
      <c r="A19" s="280"/>
      <c r="B19" s="354"/>
      <c r="C19" s="313"/>
      <c r="D19" s="814" t="s">
        <v>1028</v>
      </c>
      <c r="E19" s="813" t="s">
        <v>1123</v>
      </c>
      <c r="F19" s="322"/>
      <c r="G19" s="274" t="s">
        <v>1124</v>
      </c>
      <c r="I19" s="437"/>
      <c r="J19" s="437"/>
      <c r="Q19" s="693">
        <v>0</v>
      </c>
    </row>
    <row r="20" spans="1:17" s="1562" customFormat="1" ht="14.65" customHeight="1">
      <c r="A20" s="280"/>
      <c r="B20" s="83"/>
      <c r="C20" s="244"/>
      <c r="D20" s="815">
        <v>2</v>
      </c>
      <c r="E20" s="267" t="s">
        <v>1125</v>
      </c>
      <c r="F20" s="135" t="s">
        <v>308</v>
      </c>
      <c r="G20" s="274"/>
      <c r="I20" s="287"/>
      <c r="J20" s="287"/>
      <c r="Q20" s="279">
        <v>14</v>
      </c>
    </row>
    <row r="21" spans="1:17" s="1562" customFormat="1" ht="18.75" hidden="1" customHeight="1">
      <c r="A21" s="280"/>
      <c r="B21" s="83"/>
      <c r="C21" s="244"/>
      <c r="D21" s="270" t="s">
        <v>639</v>
      </c>
      <c r="E21" s="269"/>
      <c r="F21" s="268"/>
      <c r="G21" s="278"/>
      <c r="H21" s="271"/>
      <c r="I21" s="287"/>
      <c r="J21" s="287"/>
      <c r="Q21" s="279">
        <v>0</v>
      </c>
    </row>
    <row r="22" spans="1:17" ht="15.75" customHeight="1">
      <c r="A22" s="129"/>
      <c r="C22" s="35"/>
      <c r="D22" s="48"/>
      <c r="E22" s="140" t="s">
        <v>324</v>
      </c>
      <c r="F22" s="275"/>
      <c r="G22" s="276"/>
      <c r="Q22" s="22">
        <v>15</v>
      </c>
    </row>
    <row r="23" spans="1:17" s="1562" customFormat="1" ht="22.5" hidden="1" customHeight="1">
      <c r="A23" s="280"/>
      <c r="B23" s="1087"/>
      <c r="C23" s="313"/>
      <c r="D23" s="1600" t="s">
        <v>109</v>
      </c>
      <c r="E23" s="134" t="s">
        <v>1126</v>
      </c>
      <c r="F23" s="1597" t="s">
        <v>308</v>
      </c>
      <c r="G23" s="282"/>
      <c r="I23" s="1551"/>
      <c r="J23" s="1551"/>
      <c r="Q23" s="1558">
        <v>0</v>
      </c>
    </row>
    <row r="24" spans="1:17" s="1562" customFormat="1" ht="14.25" hidden="1" customHeight="1">
      <c r="A24" s="280"/>
      <c r="B24" s="1087"/>
      <c r="C24" s="313"/>
      <c r="D24" s="1600" t="s">
        <v>711</v>
      </c>
      <c r="E24" s="1599" t="s">
        <v>1127</v>
      </c>
      <c r="F24" s="1597" t="s">
        <v>308</v>
      </c>
      <c r="G24" s="274"/>
      <c r="I24" s="1551"/>
      <c r="J24" s="1551"/>
      <c r="Q24" s="1558">
        <v>0</v>
      </c>
    </row>
    <row r="25" spans="1:17" s="1562" customFormat="1" ht="14.25" hidden="1" customHeight="1">
      <c r="A25" s="280"/>
      <c r="B25" s="1087"/>
      <c r="C25" s="313"/>
      <c r="D25" s="1600" t="s">
        <v>714</v>
      </c>
      <c r="E25" s="132"/>
      <c r="F25" s="322"/>
      <c r="G25" s="2135" t="s">
        <v>1128</v>
      </c>
      <c r="I25" s="1551"/>
      <c r="J25" s="1551"/>
      <c r="Q25" s="1558">
        <v>0</v>
      </c>
    </row>
    <row r="26" spans="1:17" s="1562" customFormat="1" ht="22.5" hidden="1" customHeight="1">
      <c r="A26" s="280"/>
      <c r="B26" s="1087"/>
      <c r="C26" s="313"/>
      <c r="D26" s="284"/>
      <c r="E26" s="286" t="s">
        <v>1129</v>
      </c>
      <c r="F26" s="275"/>
      <c r="G26" s="2137"/>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120</v>
      </c>
      <c r="D2" s="1600"/>
      <c r="E2" s="136"/>
      <c r="F2" s="1597"/>
      <c r="G2" s="1597" t="s">
        <v>308</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120</v>
      </c>
      <c r="D4" s="1600"/>
      <c r="E4" s="142" t="s">
        <v>1130</v>
      </c>
      <c r="F4" s="1597"/>
      <c r="G4" s="194"/>
      <c r="H4" s="1597" t="s">
        <v>308</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120</v>
      </c>
      <c r="D6" s="1600"/>
      <c r="E6" s="143" t="s">
        <v>1131</v>
      </c>
      <c r="F6" s="1597"/>
      <c r="G6" s="194"/>
      <c r="H6" s="1597" t="s">
        <v>308</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120</v>
      </c>
      <c r="D8" s="1600"/>
      <c r="E8" s="143" t="s">
        <v>1132</v>
      </c>
      <c r="F8" s="1597"/>
      <c r="G8" s="194"/>
      <c r="H8" s="1597" t="s">
        <v>308</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120</v>
      </c>
      <c r="D10" s="1600"/>
      <c r="E10" s="143" t="s">
        <v>1133</v>
      </c>
      <c r="F10" s="1597"/>
      <c r="G10" s="1601"/>
      <c r="H10" s="1597" t="s">
        <v>308</v>
      </c>
      <c r="K10" s="1551"/>
      <c r="L10" s="1551" t="s">
        <v>1134</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41"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42"/>
      <c r="F14" s="2142"/>
      <c r="G14" s="2142"/>
      <c r="H14" s="2143"/>
      <c r="J14" s="1558"/>
      <c r="M14" s="22">
        <v>28</v>
      </c>
    </row>
    <row r="15" spans="1:13" s="1562" customFormat="1" ht="14.65" customHeight="1">
      <c r="A15" s="1289"/>
      <c r="B15" s="1087"/>
      <c r="C15" s="313"/>
      <c r="D15" s="2194" t="str">
        <f>IF(org=0,"Не определено",org)</f>
        <v>МУП "Михайловское водопроводно-канализационное хозяйство"</v>
      </c>
      <c r="E15" s="2195"/>
      <c r="F15" s="2195"/>
      <c r="G15" s="2195"/>
      <c r="H15" s="2196"/>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80" t="s">
        <v>302</v>
      </c>
      <c r="E18" s="2180"/>
      <c r="F18" s="2180"/>
      <c r="G18" s="2180"/>
      <c r="H18" s="2180"/>
      <c r="I18" s="2326" t="s">
        <v>303</v>
      </c>
      <c r="M18" s="22">
        <v>21</v>
      </c>
    </row>
    <row r="19" spans="1:13" ht="21.95" customHeight="1">
      <c r="C19" s="35"/>
      <c r="D19" s="44" t="s">
        <v>87</v>
      </c>
      <c r="E19" s="47" t="s">
        <v>304</v>
      </c>
      <c r="F19" s="47"/>
      <c r="G19" s="47" t="s">
        <v>305</v>
      </c>
      <c r="H19" s="47" t="s">
        <v>392</v>
      </c>
      <c r="I19" s="2326"/>
      <c r="M19" s="22">
        <v>21</v>
      </c>
    </row>
    <row r="20" spans="1:13" ht="12" hidden="1" customHeight="1">
      <c r="C20" s="35"/>
      <c r="D20" s="26"/>
      <c r="E20" s="26"/>
      <c r="F20" s="26"/>
      <c r="G20" s="26"/>
      <c r="H20" s="26"/>
      <c r="I20" s="26"/>
      <c r="M20" s="22">
        <v>0</v>
      </c>
    </row>
    <row r="21" spans="1:13" ht="14.65" customHeight="1">
      <c r="A21" s="1610"/>
      <c r="C21" s="35"/>
      <c r="D21" s="84">
        <v>1</v>
      </c>
      <c r="E21" s="2377" t="s">
        <v>1135</v>
      </c>
      <c r="F21" s="2377"/>
      <c r="G21" s="2377"/>
      <c r="H21" s="2377"/>
      <c r="I21" s="145"/>
      <c r="M21" s="22">
        <v>14</v>
      </c>
    </row>
    <row r="22" spans="1:13" ht="21" customHeight="1">
      <c r="A22" s="1610"/>
      <c r="C22" s="35"/>
      <c r="D22" s="84" t="s">
        <v>1024</v>
      </c>
      <c r="E22" s="131" t="s">
        <v>1136</v>
      </c>
      <c r="F22" s="135"/>
      <c r="G22" s="1664"/>
      <c r="H22" s="135" t="s">
        <v>308</v>
      </c>
      <c r="I22" s="88" t="s">
        <v>1137</v>
      </c>
      <c r="M22" s="22">
        <v>20</v>
      </c>
    </row>
    <row r="23" spans="1:13" ht="60" customHeight="1">
      <c r="A23" s="1610"/>
      <c r="C23" s="35"/>
      <c r="D23" s="84" t="s">
        <v>1026</v>
      </c>
      <c r="E23" s="131" t="s">
        <v>1138</v>
      </c>
      <c r="F23" s="135"/>
      <c r="G23" s="194"/>
      <c r="H23" s="150"/>
      <c r="I23" s="195" t="s">
        <v>1139</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308</v>
      </c>
      <c r="H24" s="150"/>
      <c r="I24" s="196" t="s">
        <v>634</v>
      </c>
      <c r="M24" s="22">
        <v>14</v>
      </c>
    </row>
    <row r="25" spans="1:13" ht="48.2" customHeight="1">
      <c r="A25" s="1610"/>
      <c r="C25" s="35"/>
      <c r="D25" s="84">
        <v>3</v>
      </c>
      <c r="E25" s="237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77"/>
      <c r="G25" s="2377"/>
      <c r="H25" s="2377"/>
      <c r="I25" s="193"/>
      <c r="M25" s="22">
        <v>46</v>
      </c>
    </row>
    <row r="26" spans="1:13" ht="14.65" customHeight="1">
      <c r="A26" s="1610"/>
      <c r="C26" s="35"/>
      <c r="D26" s="84" t="s">
        <v>326</v>
      </c>
      <c r="E26" s="136"/>
      <c r="F26" s="135"/>
      <c r="G26" s="135" t="s">
        <v>308</v>
      </c>
      <c r="H26" s="150"/>
      <c r="I26" s="2135" t="s">
        <v>1140</v>
      </c>
      <c r="M26" s="22">
        <v>14</v>
      </c>
    </row>
    <row r="27" spans="1:13" ht="15.75" customHeight="1">
      <c r="A27" s="1610" t="s">
        <v>108</v>
      </c>
      <c r="C27" s="35"/>
      <c r="D27" s="48"/>
      <c r="E27" s="140" t="s">
        <v>324</v>
      </c>
      <c r="F27" s="141"/>
      <c r="G27" s="141"/>
      <c r="H27" s="138"/>
      <c r="I27" s="2137"/>
      <c r="M27" s="22">
        <v>15</v>
      </c>
    </row>
    <row r="28" spans="1:13" ht="39.75" customHeight="1">
      <c r="A28" s="1610"/>
      <c r="B28" s="83">
        <v>3</v>
      </c>
      <c r="C28" s="35"/>
      <c r="D28" s="84">
        <v>4</v>
      </c>
      <c r="E28" s="237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77"/>
      <c r="G28" s="2377"/>
      <c r="H28" s="2377"/>
      <c r="I28" s="193"/>
      <c r="M28" s="22">
        <v>38</v>
      </c>
    </row>
    <row r="29" spans="1:13" ht="21" customHeight="1">
      <c r="A29" s="1610"/>
      <c r="C29" s="35"/>
      <c r="D29" s="84" t="s">
        <v>756</v>
      </c>
      <c r="E29" s="142" t="s">
        <v>1130</v>
      </c>
      <c r="F29" s="135"/>
      <c r="G29" s="194"/>
      <c r="H29" s="135" t="s">
        <v>308</v>
      </c>
      <c r="I29" s="2135" t="s">
        <v>1141</v>
      </c>
      <c r="M29" s="22">
        <v>20</v>
      </c>
    </row>
    <row r="30" spans="1:13" ht="15.75" customHeight="1">
      <c r="A30" s="1610" t="s">
        <v>109</v>
      </c>
      <c r="C30" s="35"/>
      <c r="D30" s="48"/>
      <c r="E30" s="140" t="s">
        <v>324</v>
      </c>
      <c r="F30" s="141"/>
      <c r="G30" s="141"/>
      <c r="H30" s="138"/>
      <c r="I30" s="2137"/>
      <c r="M30" s="22">
        <v>15</v>
      </c>
    </row>
    <row r="31" spans="1:13" ht="31.5" customHeight="1">
      <c r="A31" s="1610"/>
      <c r="B31" s="83">
        <v>3</v>
      </c>
      <c r="C31" s="35"/>
      <c r="D31" s="84">
        <v>5</v>
      </c>
      <c r="E31" s="237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77"/>
      <c r="G31" s="2377"/>
      <c r="H31" s="2377"/>
      <c r="I31" s="193"/>
      <c r="M31" s="22">
        <v>30</v>
      </c>
    </row>
    <row r="32" spans="1:13" ht="27.4" customHeight="1">
      <c r="A32" s="1610"/>
      <c r="C32" s="35"/>
      <c r="D32" s="84" t="s">
        <v>315</v>
      </c>
      <c r="E32" s="234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40"/>
      <c r="G32" s="2340"/>
      <c r="H32" s="2340"/>
      <c r="I32" s="193"/>
      <c r="M32" s="22">
        <v>26</v>
      </c>
    </row>
    <row r="33" spans="1:13" ht="14.65" customHeight="1">
      <c r="A33" s="1610"/>
      <c r="C33" s="35"/>
      <c r="D33" s="84" t="s">
        <v>1142</v>
      </c>
      <c r="E33" s="143" t="s">
        <v>1131</v>
      </c>
      <c r="F33" s="135"/>
      <c r="G33" s="194"/>
      <c r="H33" s="135" t="s">
        <v>308</v>
      </c>
      <c r="I33" s="2135" t="s">
        <v>1143</v>
      </c>
      <c r="M33" s="22">
        <v>14</v>
      </c>
    </row>
    <row r="34" spans="1:13" ht="15.75" customHeight="1">
      <c r="A34" s="1610" t="s">
        <v>89</v>
      </c>
      <c r="C34" s="35"/>
      <c r="D34" s="48"/>
      <c r="E34" s="141" t="s">
        <v>324</v>
      </c>
      <c r="F34" s="137"/>
      <c r="G34" s="137"/>
      <c r="H34" s="138"/>
      <c r="I34" s="2137"/>
      <c r="M34" s="22">
        <v>15</v>
      </c>
    </row>
    <row r="35" spans="1:13" ht="25.15" customHeight="1">
      <c r="A35" s="1610"/>
      <c r="C35" s="35"/>
      <c r="D35" s="84" t="s">
        <v>884</v>
      </c>
      <c r="E35" s="234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40"/>
      <c r="G35" s="2340"/>
      <c r="H35" s="2340"/>
      <c r="I35" s="193"/>
      <c r="M35" s="22">
        <v>24</v>
      </c>
    </row>
    <row r="36" spans="1:13" ht="14.65" customHeight="1">
      <c r="A36" s="1610"/>
      <c r="C36" s="35"/>
      <c r="D36" s="84" t="s">
        <v>1144</v>
      </c>
      <c r="E36" s="143" t="s">
        <v>1132</v>
      </c>
      <c r="F36" s="135"/>
      <c r="G36" s="194"/>
      <c r="H36" s="135" t="s">
        <v>308</v>
      </c>
      <c r="I36" s="2114" t="s">
        <v>1145</v>
      </c>
      <c r="M36" s="22">
        <v>14</v>
      </c>
    </row>
    <row r="37" spans="1:13" ht="15.75" customHeight="1">
      <c r="A37" s="1610" t="s">
        <v>90</v>
      </c>
      <c r="C37" s="35"/>
      <c r="D37" s="48"/>
      <c r="E37" s="141" t="s">
        <v>324</v>
      </c>
      <c r="F37" s="137"/>
      <c r="G37" s="137"/>
      <c r="H37" s="138"/>
      <c r="I37" s="2114"/>
      <c r="M37" s="22">
        <v>15</v>
      </c>
    </row>
    <row r="38" spans="1:13" ht="27.4" customHeight="1">
      <c r="A38" s="1610"/>
      <c r="C38" s="35"/>
      <c r="D38" s="84" t="s">
        <v>885</v>
      </c>
      <c r="E38" s="234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40"/>
      <c r="G38" s="2340"/>
      <c r="H38" s="2340"/>
      <c r="I38" s="193"/>
      <c r="M38" s="22">
        <v>26</v>
      </c>
    </row>
    <row r="39" spans="1:13" ht="14.65" customHeight="1">
      <c r="A39" s="1610"/>
      <c r="C39" s="35"/>
      <c r="D39" s="84" t="s">
        <v>886</v>
      </c>
      <c r="E39" s="143" t="s">
        <v>1133</v>
      </c>
      <c r="F39" s="135"/>
      <c r="G39" s="144"/>
      <c r="H39" s="135" t="s">
        <v>308</v>
      </c>
      <c r="I39" s="2135" t="s">
        <v>1146</v>
      </c>
      <c r="L39" s="92" t="s">
        <v>1134</v>
      </c>
      <c r="M39" s="22">
        <v>14</v>
      </c>
    </row>
    <row r="40" spans="1:13" ht="15.75" customHeight="1">
      <c r="A40" s="1610" t="s">
        <v>110</v>
      </c>
      <c r="C40" s="35"/>
      <c r="D40" s="48"/>
      <c r="E40" s="141" t="s">
        <v>324</v>
      </c>
      <c r="F40" s="137"/>
      <c r="G40" s="137"/>
      <c r="H40" s="138"/>
      <c r="I40" s="2137"/>
      <c r="M40" s="22">
        <v>15</v>
      </c>
    </row>
    <row r="41" spans="1:13" s="1749" customFormat="1" ht="3" customHeight="1">
      <c r="A41" s="1610"/>
      <c r="K41" s="133"/>
      <c r="L41" s="133"/>
      <c r="M41" s="78">
        <v>3</v>
      </c>
    </row>
    <row r="42" spans="1:13" ht="26.25" customHeight="1">
      <c r="D42" s="1608" t="s">
        <v>806</v>
      </c>
      <c r="E42" s="221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18"/>
      <c r="G42" s="2218"/>
      <c r="H42" s="2218"/>
      <c r="I42" s="2218"/>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159</v>
      </c>
      <c r="B2" s="1707" t="s">
        <v>160</v>
      </c>
      <c r="C2" s="306"/>
      <c r="D2" s="281"/>
      <c r="E2" s="961"/>
      <c r="F2" s="961"/>
      <c r="G2" s="2353" t="str">
        <f>INDEX(PT_DIFFERENTIATION_NTAR,MATCH(B2,PT_DIFFERENTIATION_NTAR_ID,0))</f>
        <v/>
      </c>
      <c r="H2" s="1790"/>
      <c r="I2" s="1666"/>
      <c r="J2" s="1700"/>
      <c r="K2" s="1791"/>
      <c r="L2" s="1790" t="s">
        <v>308</v>
      </c>
      <c r="M2" s="1801"/>
      <c r="N2" s="271"/>
      <c r="O2" s="1551"/>
      <c r="P2" s="1551"/>
      <c r="AH2" s="1558">
        <v>0</v>
      </c>
    </row>
    <row r="3" spans="1:34" s="1562" customFormat="1" ht="18.75" hidden="1" customHeight="1">
      <c r="A3" s="1707"/>
      <c r="B3" s="1707"/>
      <c r="C3" s="306" t="s">
        <v>1147</v>
      </c>
      <c r="D3" s="281"/>
      <c r="E3" s="961"/>
      <c r="F3" s="961"/>
      <c r="G3" s="2353"/>
      <c r="H3" s="1427"/>
      <c r="I3" s="588" t="s">
        <v>1148</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159</v>
      </c>
      <c r="B5" s="1707" t="s">
        <v>160</v>
      </c>
      <c r="C5" s="306"/>
      <c r="D5" s="281"/>
      <c r="E5" s="961"/>
      <c r="F5" s="961"/>
      <c r="G5" s="2353" t="str">
        <f>INDEX(PT_DIFFERENTIATION_NTAR,MATCH(B5,PT_DIFFERENTIATION_NTAR_ID,0))</f>
        <v/>
      </c>
      <c r="H5" s="1790"/>
      <c r="I5" s="1666"/>
      <c r="J5" s="1700"/>
      <c r="K5" s="1705"/>
      <c r="L5" s="1790" t="s">
        <v>308</v>
      </c>
      <c r="M5" s="1801"/>
      <c r="N5" s="271"/>
      <c r="O5" s="1551"/>
      <c r="P5" s="1551"/>
      <c r="AH5" s="1558">
        <v>0</v>
      </c>
    </row>
    <row r="6" spans="1:34" s="1562" customFormat="1" ht="18.75" hidden="1" customHeight="1">
      <c r="A6" s="1707"/>
      <c r="B6" s="1707"/>
      <c r="C6" s="306" t="s">
        <v>1149</v>
      </c>
      <c r="D6" s="281"/>
      <c r="E6" s="961"/>
      <c r="F6" s="961"/>
      <c r="G6" s="2353"/>
      <c r="H6" s="1427"/>
      <c r="I6" s="588" t="s">
        <v>1148</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308</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308</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7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79"/>
      <c r="G14" s="2379"/>
      <c r="H14" s="2379"/>
      <c r="I14" s="2379"/>
      <c r="J14" s="2379"/>
      <c r="K14" s="2379"/>
      <c r="L14" s="237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11" t="str">
        <f>IF(TITLE_DATE_PR_CHANGE="",IF(TITLE_DATE_PR="","",TITLE_DATE_PR),TITLE_DATE_PR_CHANGE)</f>
        <v/>
      </c>
      <c r="H16" s="2211"/>
      <c r="I16" s="2211"/>
      <c r="J16" s="2211"/>
      <c r="K16" s="2211"/>
      <c r="L16" s="2211"/>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12" t="str">
        <f>IF(TITLE_NUMBER_PR_CHANGE="",IF(TITLE_NUMBER_PR="","",TITLE_NUMBER_PR),TITLE_NUMBER_PR_CHANGE)</f>
        <v/>
      </c>
      <c r="H17" s="2212"/>
      <c r="I17" s="2212"/>
      <c r="J17" s="2212"/>
      <c r="K17" s="2212"/>
      <c r="L17" s="2212"/>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80" t="s">
        <v>302</v>
      </c>
      <c r="F19" s="2180"/>
      <c r="G19" s="2180"/>
      <c r="H19" s="2180"/>
      <c r="I19" s="2180"/>
      <c r="J19" s="2180"/>
      <c r="K19" s="2180"/>
      <c r="L19" s="2180"/>
      <c r="M19" s="2326" t="s">
        <v>303</v>
      </c>
      <c r="AH19" s="311">
        <v>21</v>
      </c>
    </row>
    <row r="20" spans="1:34" ht="21.95" customHeight="1">
      <c r="D20" s="313"/>
      <c r="E20" s="2236" t="s">
        <v>87</v>
      </c>
      <c r="F20" s="2186" t="s">
        <v>126</v>
      </c>
      <c r="G20" s="2186" t="s">
        <v>127</v>
      </c>
      <c r="H20" s="2323" t="s">
        <v>1150</v>
      </c>
      <c r="I20" s="2324"/>
      <c r="J20" s="2355"/>
      <c r="K20" s="2186" t="s">
        <v>305</v>
      </c>
      <c r="L20" s="2186" t="s">
        <v>392</v>
      </c>
      <c r="M20" s="2326"/>
      <c r="AH20" s="311">
        <v>21</v>
      </c>
    </row>
    <row r="21" spans="1:34" ht="21.95" customHeight="1">
      <c r="D21" s="313"/>
      <c r="E21" s="2238"/>
      <c r="F21" s="2187"/>
      <c r="G21" s="2187"/>
      <c r="H21" s="2185" t="s">
        <v>1151</v>
      </c>
      <c r="I21" s="2199"/>
      <c r="J21" s="47" t="s">
        <v>1152</v>
      </c>
      <c r="K21" s="2187"/>
      <c r="L21" s="2187"/>
      <c r="M21" s="2326"/>
      <c r="AH21" s="311">
        <v>21</v>
      </c>
    </row>
    <row r="22" spans="1:34" ht="12.75" customHeight="1">
      <c r="D22" s="313"/>
      <c r="E22" s="218"/>
      <c r="F22" s="218"/>
      <c r="G22" s="218"/>
      <c r="H22" s="2381"/>
      <c r="I22" s="2381"/>
      <c r="J22" s="218"/>
      <c r="K22" s="218"/>
      <c r="L22" s="218"/>
      <c r="M22" s="218"/>
      <c r="AH22" s="311">
        <v>12</v>
      </c>
    </row>
    <row r="23" spans="1:34" ht="19.899999999999999" customHeight="1">
      <c r="A23" s="1707"/>
      <c r="B23" s="1707"/>
      <c r="D23" s="313"/>
      <c r="E23" s="1792" t="s">
        <v>108</v>
      </c>
      <c r="F23" s="2382" t="str">
        <f>"Предлагаемый метод регулирования"&amp;IF(TEMPLATE_SPHERE="HEAT"," в сфере "&amp;TEMPLATE_SPHERE_RUS,"")</f>
        <v>Предлагаемый метод регулирования</v>
      </c>
      <c r="G23" s="2382"/>
      <c r="H23" s="2377"/>
      <c r="I23" s="2377"/>
      <c r="J23" s="2377"/>
      <c r="K23" s="2382" t="s">
        <v>308</v>
      </c>
      <c r="L23" s="2377"/>
      <c r="M23" s="1696"/>
      <c r="N23" s="271"/>
      <c r="AH23" s="311">
        <v>19</v>
      </c>
    </row>
    <row r="24" spans="1:34" ht="60.75" hidden="1" customHeight="1">
      <c r="A24" s="1707" t="s">
        <v>159</v>
      </c>
      <c r="B24" s="1707" t="s">
        <v>160</v>
      </c>
      <c r="D24" s="2380"/>
      <c r="E24" s="2175"/>
      <c r="F24" s="238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3" t="str">
        <f>INDEX(PT_DIFFERENTIATION_NTAR,MATCH(B24,PT_DIFFERENTIATION_NTAR_ID,0))</f>
        <v/>
      </c>
      <c r="H24" s="1788"/>
      <c r="I24" s="1666"/>
      <c r="J24" s="1700"/>
      <c r="K24" s="1791"/>
      <c r="L24" s="1695" t="s">
        <v>308</v>
      </c>
      <c r="M24" s="21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1147</v>
      </c>
      <c r="D25" s="2380"/>
      <c r="E25" s="2175"/>
      <c r="F25" s="2383"/>
      <c r="G25" s="2353"/>
      <c r="H25" s="1427"/>
      <c r="I25" s="588" t="s">
        <v>1148</v>
      </c>
      <c r="J25" s="508"/>
      <c r="K25" s="1427"/>
      <c r="L25" s="151"/>
      <c r="M25" s="2136"/>
      <c r="N25" s="271"/>
      <c r="O25" s="1551"/>
      <c r="P25" s="1551"/>
      <c r="AH25" s="1558">
        <v>0</v>
      </c>
    </row>
    <row r="26" spans="1:34" ht="0.75" hidden="1" customHeight="1">
      <c r="A26" s="1707"/>
      <c r="B26" s="1707"/>
      <c r="C26" s="306" t="s">
        <v>1153</v>
      </c>
      <c r="D26" s="2380"/>
      <c r="E26" s="2175"/>
      <c r="F26" s="2313"/>
      <c r="G26" s="337"/>
      <c r="H26" s="1427"/>
      <c r="I26" s="332"/>
      <c r="J26" s="286"/>
      <c r="K26" s="1427"/>
      <c r="L26" s="138"/>
      <c r="M26" s="2136"/>
      <c r="N26" s="271"/>
      <c r="AH26" s="311">
        <v>0</v>
      </c>
    </row>
    <row r="27" spans="1:34" s="1562" customFormat="1" ht="45" hidden="1" customHeight="1">
      <c r="A27" s="1707" t="s">
        <v>164</v>
      </c>
      <c r="B27" s="1707" t="s">
        <v>165</v>
      </c>
      <c r="C27" s="306"/>
      <c r="D27" s="2378"/>
      <c r="E27" s="2384"/>
      <c r="F27" s="2385" t="str">
        <f>INDEX(PT_DIFFERENTIATION_VTAR,MATCH(A27,PT_DIFFERENTIATION_VTAR_ID,0))</f>
        <v/>
      </c>
      <c r="G27" s="2353" t="str">
        <f>INDEX(PT_DIFFERENTIATION_NTAR,MATCH(B27,PT_DIFFERENTIATION_NTAR_ID,0))</f>
        <v/>
      </c>
      <c r="H27" s="1788"/>
      <c r="I27" s="1666"/>
      <c r="J27" s="1700"/>
      <c r="K27" s="1791"/>
      <c r="L27" s="1788" t="s">
        <v>308</v>
      </c>
      <c r="M27" s="2136"/>
      <c r="N27" s="271"/>
      <c r="O27" s="1551"/>
      <c r="P27" s="1551"/>
      <c r="AH27" s="1558">
        <v>0</v>
      </c>
    </row>
    <row r="28" spans="1:34" s="1562" customFormat="1" ht="18.75" hidden="1" customHeight="1">
      <c r="A28" s="1707"/>
      <c r="B28" s="1707"/>
      <c r="C28" s="306" t="s">
        <v>1147</v>
      </c>
      <c r="D28" s="2378"/>
      <c r="E28" s="2384"/>
      <c r="F28" s="2385"/>
      <c r="G28" s="2353"/>
      <c r="H28" s="1427"/>
      <c r="I28" s="588" t="s">
        <v>1148</v>
      </c>
      <c r="J28" s="508"/>
      <c r="K28" s="1427"/>
      <c r="L28" s="151"/>
      <c r="M28" s="2136"/>
      <c r="N28" s="271"/>
      <c r="O28" s="1551"/>
      <c r="P28" s="1551"/>
      <c r="AH28" s="1558">
        <v>0</v>
      </c>
    </row>
    <row r="29" spans="1:34" s="1562" customFormat="1" ht="0.75" hidden="1" customHeight="1">
      <c r="A29" s="1707"/>
      <c r="B29" s="1707"/>
      <c r="C29" s="306" t="s">
        <v>1153</v>
      </c>
      <c r="D29" s="2378"/>
      <c r="E29" s="2175"/>
      <c r="F29" s="2313"/>
      <c r="G29" s="337"/>
      <c r="H29" s="1427"/>
      <c r="I29" s="588"/>
      <c r="J29" s="508"/>
      <c r="K29" s="1427"/>
      <c r="L29" s="151"/>
      <c r="M29" s="2136"/>
      <c r="N29" s="271"/>
      <c r="O29" s="1551"/>
      <c r="P29" s="1551"/>
      <c r="AH29" s="1558">
        <v>0</v>
      </c>
    </row>
    <row r="30" spans="1:34" s="1562" customFormat="1" ht="45" hidden="1" customHeight="1">
      <c r="A30" s="1707" t="s">
        <v>171</v>
      </c>
      <c r="B30" s="1707" t="s">
        <v>172</v>
      </c>
      <c r="C30" s="306"/>
      <c r="D30" s="2378"/>
      <c r="E30" s="2175"/>
      <c r="F30" s="231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3" t="str">
        <f>INDEX(PT_DIFFERENTIATION_NTAR,MATCH(B30,PT_DIFFERENTIATION_NTAR_ID,0))</f>
        <v/>
      </c>
      <c r="H30" s="1788"/>
      <c r="I30" s="1666"/>
      <c r="J30" s="1700"/>
      <c r="K30" s="1791"/>
      <c r="L30" s="1788" t="s">
        <v>308</v>
      </c>
      <c r="M30" s="2136"/>
      <c r="N30" s="271"/>
      <c r="O30" s="1551"/>
      <c r="P30" s="1551"/>
      <c r="AH30" s="1558">
        <v>0</v>
      </c>
    </row>
    <row r="31" spans="1:34" s="1562" customFormat="1" ht="18.75" hidden="1" customHeight="1">
      <c r="A31" s="1707"/>
      <c r="B31" s="1707"/>
      <c r="C31" s="306" t="s">
        <v>1147</v>
      </c>
      <c r="D31" s="2378"/>
      <c r="E31" s="2175"/>
      <c r="F31" s="2313"/>
      <c r="G31" s="2353"/>
      <c r="H31" s="1427"/>
      <c r="I31" s="588" t="s">
        <v>1148</v>
      </c>
      <c r="J31" s="508"/>
      <c r="K31" s="1427"/>
      <c r="L31" s="151"/>
      <c r="M31" s="2136"/>
      <c r="N31" s="271"/>
      <c r="O31" s="1551"/>
      <c r="P31" s="1551"/>
      <c r="AH31" s="1558">
        <v>0</v>
      </c>
    </row>
    <row r="32" spans="1:34" s="1562" customFormat="1" ht="0.75" hidden="1" customHeight="1">
      <c r="A32" s="1707"/>
      <c r="B32" s="1707"/>
      <c r="C32" s="306" t="s">
        <v>1153</v>
      </c>
      <c r="D32" s="2378"/>
      <c r="E32" s="2175"/>
      <c r="F32" s="2313"/>
      <c r="G32" s="337"/>
      <c r="H32" s="1427"/>
      <c r="I32" s="588"/>
      <c r="J32" s="508"/>
      <c r="K32" s="1427"/>
      <c r="L32" s="151"/>
      <c r="M32" s="2136"/>
      <c r="N32" s="271"/>
      <c r="O32" s="1551"/>
      <c r="P32" s="1551"/>
      <c r="AH32" s="1558">
        <v>0</v>
      </c>
    </row>
    <row r="33" spans="1:34" s="1562" customFormat="1" ht="45" hidden="1" customHeight="1">
      <c r="A33" s="1707" t="s">
        <v>177</v>
      </c>
      <c r="B33" s="1707" t="s">
        <v>178</v>
      </c>
      <c r="C33" s="306"/>
      <c r="D33" s="2378"/>
      <c r="E33" s="2175"/>
      <c r="F33" s="231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3" t="str">
        <f>INDEX(PT_DIFFERENTIATION_NTAR,MATCH(B33,PT_DIFFERENTIATION_NTAR_ID,0))</f>
        <v/>
      </c>
      <c r="H33" s="1788"/>
      <c r="I33" s="1666"/>
      <c r="J33" s="1700"/>
      <c r="K33" s="1791"/>
      <c r="L33" s="1788" t="s">
        <v>308</v>
      </c>
      <c r="M33" s="2136"/>
      <c r="N33" s="271"/>
      <c r="O33" s="1551"/>
      <c r="P33" s="1551"/>
      <c r="AH33" s="1558">
        <v>0</v>
      </c>
    </row>
    <row r="34" spans="1:34" s="1562" customFormat="1" ht="18.75" hidden="1" customHeight="1">
      <c r="A34" s="1707"/>
      <c r="B34" s="1707"/>
      <c r="C34" s="306" t="s">
        <v>1147</v>
      </c>
      <c r="D34" s="2378"/>
      <c r="E34" s="2175"/>
      <c r="F34" s="2313"/>
      <c r="G34" s="2353"/>
      <c r="H34" s="1427"/>
      <c r="I34" s="588" t="s">
        <v>1148</v>
      </c>
      <c r="J34" s="508"/>
      <c r="K34" s="1427"/>
      <c r="L34" s="151"/>
      <c r="M34" s="2136"/>
      <c r="N34" s="271"/>
      <c r="O34" s="1551"/>
      <c r="P34" s="1551"/>
      <c r="AH34" s="1558">
        <v>0</v>
      </c>
    </row>
    <row r="35" spans="1:34" s="1562" customFormat="1" ht="0.75" hidden="1" customHeight="1">
      <c r="A35" s="1707"/>
      <c r="B35" s="1707"/>
      <c r="C35" s="306" t="s">
        <v>1153</v>
      </c>
      <c r="D35" s="2378"/>
      <c r="E35" s="2175"/>
      <c r="F35" s="2313"/>
      <c r="G35" s="337"/>
      <c r="H35" s="1427"/>
      <c r="I35" s="588"/>
      <c r="J35" s="508"/>
      <c r="K35" s="1427"/>
      <c r="L35" s="151"/>
      <c r="M35" s="2136"/>
      <c r="N35" s="271"/>
      <c r="O35" s="1551"/>
      <c r="P35" s="1551"/>
      <c r="AH35" s="1558">
        <v>0</v>
      </c>
    </row>
    <row r="36" spans="1:34" s="1562" customFormat="1" ht="18.75" hidden="1" customHeight="1">
      <c r="A36" s="1707" t="s">
        <v>183</v>
      </c>
      <c r="B36" s="1707" t="s">
        <v>184</v>
      </c>
      <c r="C36" s="306"/>
      <c r="D36" s="2378"/>
      <c r="E36" s="2175"/>
      <c r="F36" s="2313" t="str">
        <f>INDEX(PT_DIFFERENTIATION_VTAR,MATCH(A36,PT_DIFFERENTIATION_VTAR_ID,0))</f>
        <v>Тарифы на услуги по передаче тепловой энергии</v>
      </c>
      <c r="G36" s="2353" t="str">
        <f>INDEX(PT_DIFFERENTIATION_NTAR,MATCH(B36,PT_DIFFERENTIATION_NTAR_ID,0))</f>
        <v/>
      </c>
      <c r="H36" s="1788"/>
      <c r="I36" s="1666"/>
      <c r="J36" s="1700"/>
      <c r="K36" s="1791"/>
      <c r="L36" s="1788" t="s">
        <v>308</v>
      </c>
      <c r="M36" s="2136"/>
      <c r="N36" s="271"/>
      <c r="O36" s="1551"/>
      <c r="P36" s="1551"/>
      <c r="AH36" s="1558">
        <v>0</v>
      </c>
    </row>
    <row r="37" spans="1:34" s="1562" customFormat="1" ht="18.75" hidden="1" customHeight="1">
      <c r="A37" s="1707"/>
      <c r="B37" s="1707"/>
      <c r="C37" s="306" t="s">
        <v>1147</v>
      </c>
      <c r="D37" s="2378"/>
      <c r="E37" s="2175"/>
      <c r="F37" s="2313"/>
      <c r="G37" s="2353"/>
      <c r="H37" s="1427"/>
      <c r="I37" s="588" t="s">
        <v>1148</v>
      </c>
      <c r="J37" s="508"/>
      <c r="K37" s="1427"/>
      <c r="L37" s="151"/>
      <c r="M37" s="2136"/>
      <c r="N37" s="271"/>
      <c r="O37" s="1551"/>
      <c r="P37" s="1551"/>
      <c r="AH37" s="1558">
        <v>0</v>
      </c>
    </row>
    <row r="38" spans="1:34" s="1562" customFormat="1" ht="0.75" hidden="1" customHeight="1">
      <c r="A38" s="1707"/>
      <c r="B38" s="1707"/>
      <c r="C38" s="306" t="s">
        <v>1153</v>
      </c>
      <c r="D38" s="2378"/>
      <c r="E38" s="2175"/>
      <c r="F38" s="2313"/>
      <c r="G38" s="337"/>
      <c r="H38" s="1427"/>
      <c r="I38" s="588"/>
      <c r="J38" s="508"/>
      <c r="K38" s="1427"/>
      <c r="L38" s="151"/>
      <c r="M38" s="2136"/>
      <c r="N38" s="271"/>
      <c r="O38" s="1551"/>
      <c r="P38" s="1551"/>
      <c r="AH38" s="1558">
        <v>0</v>
      </c>
    </row>
    <row r="39" spans="1:34" s="1562" customFormat="1" ht="18.75" hidden="1" customHeight="1">
      <c r="A39" s="1707" t="s">
        <v>189</v>
      </c>
      <c r="B39" s="1707" t="s">
        <v>190</v>
      </c>
      <c r="C39" s="306"/>
      <c r="D39" s="2378"/>
      <c r="E39" s="2175"/>
      <c r="F39" s="2313" t="str">
        <f>INDEX(PT_DIFFERENTIATION_VTAR,MATCH(A39,PT_DIFFERENTIATION_VTAR_ID,0))</f>
        <v>Тарифы на услуги по передаче теплоносителя</v>
      </c>
      <c r="G39" s="2353" t="str">
        <f>INDEX(PT_DIFFERENTIATION_NTAR,MATCH(B39,PT_DIFFERENTIATION_NTAR_ID,0))</f>
        <v/>
      </c>
      <c r="H39" s="1788"/>
      <c r="I39" s="1666"/>
      <c r="J39" s="1700"/>
      <c r="K39" s="1791"/>
      <c r="L39" s="1788" t="s">
        <v>308</v>
      </c>
      <c r="M39" s="2136"/>
      <c r="N39" s="271"/>
      <c r="O39" s="1551"/>
      <c r="P39" s="1551"/>
      <c r="AH39" s="1558">
        <v>0</v>
      </c>
    </row>
    <row r="40" spans="1:34" s="1562" customFormat="1" ht="18.75" hidden="1" customHeight="1">
      <c r="A40" s="1707"/>
      <c r="B40" s="1707"/>
      <c r="C40" s="306" t="s">
        <v>1147</v>
      </c>
      <c r="D40" s="2378"/>
      <c r="E40" s="2175"/>
      <c r="F40" s="2313"/>
      <c r="G40" s="2353"/>
      <c r="H40" s="1427"/>
      <c r="I40" s="588" t="s">
        <v>1148</v>
      </c>
      <c r="J40" s="508"/>
      <c r="K40" s="1427"/>
      <c r="L40" s="151"/>
      <c r="M40" s="2136"/>
      <c r="N40" s="271"/>
      <c r="O40" s="1551"/>
      <c r="P40" s="1551"/>
      <c r="AH40" s="1558">
        <v>0</v>
      </c>
    </row>
    <row r="41" spans="1:34" s="1562" customFormat="1" ht="0.75" hidden="1" customHeight="1">
      <c r="A41" s="1707"/>
      <c r="B41" s="1707"/>
      <c r="C41" s="306" t="s">
        <v>1153</v>
      </c>
      <c r="D41" s="2378"/>
      <c r="E41" s="2175"/>
      <c r="F41" s="2313"/>
      <c r="G41" s="337"/>
      <c r="H41" s="1427"/>
      <c r="I41" s="588"/>
      <c r="J41" s="508"/>
      <c r="K41" s="1427"/>
      <c r="L41" s="151"/>
      <c r="M41" s="2136"/>
      <c r="N41" s="271"/>
      <c r="O41" s="1551"/>
      <c r="P41" s="1551"/>
      <c r="AH41" s="1558">
        <v>0</v>
      </c>
    </row>
    <row r="42" spans="1:34" s="1562" customFormat="1" ht="18.75" hidden="1" customHeight="1">
      <c r="A42" s="1707" t="s">
        <v>195</v>
      </c>
      <c r="B42" s="1707" t="s">
        <v>196</v>
      </c>
      <c r="C42" s="306"/>
      <c r="D42" s="2378"/>
      <c r="E42" s="2175"/>
      <c r="F42" s="231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3" t="str">
        <f>INDEX(PT_DIFFERENTIATION_NTAR,MATCH(B42,PT_DIFFERENTIATION_NTAR_ID,0))</f>
        <v/>
      </c>
      <c r="H42" s="1788"/>
      <c r="I42" s="1666"/>
      <c r="J42" s="1700"/>
      <c r="K42" s="1791"/>
      <c r="L42" s="1788" t="s">
        <v>308</v>
      </c>
      <c r="M42" s="2136"/>
      <c r="N42" s="271"/>
      <c r="O42" s="1551"/>
      <c r="P42" s="1551"/>
      <c r="AH42" s="1558">
        <v>0</v>
      </c>
    </row>
    <row r="43" spans="1:34" s="1562" customFormat="1" ht="18.75" hidden="1" customHeight="1">
      <c r="A43" s="1707"/>
      <c r="B43" s="1707"/>
      <c r="C43" s="306" t="s">
        <v>1147</v>
      </c>
      <c r="D43" s="2378"/>
      <c r="E43" s="2175"/>
      <c r="F43" s="2313"/>
      <c r="G43" s="2353"/>
      <c r="H43" s="1427"/>
      <c r="I43" s="588" t="s">
        <v>1148</v>
      </c>
      <c r="J43" s="508"/>
      <c r="K43" s="1427"/>
      <c r="L43" s="151"/>
      <c r="M43" s="2136"/>
      <c r="N43" s="271"/>
      <c r="O43" s="1551"/>
      <c r="P43" s="1551"/>
      <c r="AH43" s="1558">
        <v>0</v>
      </c>
    </row>
    <row r="44" spans="1:34" s="1562" customFormat="1" ht="0.75" hidden="1" customHeight="1">
      <c r="A44" s="1707"/>
      <c r="B44" s="1707"/>
      <c r="C44" s="306" t="s">
        <v>1153</v>
      </c>
      <c r="D44" s="2378"/>
      <c r="E44" s="2175"/>
      <c r="F44" s="2313"/>
      <c r="G44" s="337"/>
      <c r="H44" s="1427"/>
      <c r="I44" s="588"/>
      <c r="J44" s="508"/>
      <c r="K44" s="1427"/>
      <c r="L44" s="151"/>
      <c r="M44" s="2136"/>
      <c r="N44" s="271"/>
      <c r="O44" s="1551"/>
      <c r="P44" s="1551"/>
      <c r="AH44" s="1558">
        <v>0</v>
      </c>
    </row>
    <row r="45" spans="1:34" s="1562" customFormat="1" ht="18.75" hidden="1" customHeight="1">
      <c r="A45" s="1707" t="s">
        <v>201</v>
      </c>
      <c r="B45" s="1707" t="s">
        <v>202</v>
      </c>
      <c r="C45" s="306"/>
      <c r="D45" s="2378"/>
      <c r="E45" s="2175"/>
      <c r="F45" s="2313" t="str">
        <f>INDEX(PT_DIFFERENTIATION_VTAR,MATCH(A45,PT_DIFFERENTIATION_VTAR_ID,0))</f>
        <v>Плата за подключение (технологическое присоединение) к системе теплоснабжения</v>
      </c>
      <c r="G45" s="2353" t="str">
        <f>INDEX(PT_DIFFERENTIATION_NTAR,MATCH(B45,PT_DIFFERENTIATION_NTAR_ID,0))</f>
        <v/>
      </c>
      <c r="H45" s="1788"/>
      <c r="I45" s="1666"/>
      <c r="J45" s="1700"/>
      <c r="K45" s="1791"/>
      <c r="L45" s="1788" t="s">
        <v>308</v>
      </c>
      <c r="M45" s="2136"/>
      <c r="N45" s="271"/>
      <c r="O45" s="1551"/>
      <c r="P45" s="1551"/>
      <c r="AH45" s="1558">
        <v>0</v>
      </c>
    </row>
    <row r="46" spans="1:34" s="1562" customFormat="1" ht="18.75" hidden="1" customHeight="1">
      <c r="A46" s="1707"/>
      <c r="B46" s="1707"/>
      <c r="C46" s="306" t="s">
        <v>1147</v>
      </c>
      <c r="D46" s="2378"/>
      <c r="E46" s="2175"/>
      <c r="F46" s="2313"/>
      <c r="G46" s="2353"/>
      <c r="H46" s="1427"/>
      <c r="I46" s="588" t="s">
        <v>1148</v>
      </c>
      <c r="J46" s="508"/>
      <c r="K46" s="1427"/>
      <c r="L46" s="151"/>
      <c r="M46" s="2136"/>
      <c r="N46" s="271"/>
      <c r="O46" s="1551"/>
      <c r="P46" s="1551"/>
      <c r="AH46" s="1558">
        <v>0</v>
      </c>
    </row>
    <row r="47" spans="1:34" s="1562" customFormat="1" ht="0.75" hidden="1" customHeight="1">
      <c r="A47" s="1707"/>
      <c r="B47" s="1707"/>
      <c r="C47" s="306" t="s">
        <v>1153</v>
      </c>
      <c r="D47" s="2378"/>
      <c r="E47" s="2175"/>
      <c r="F47" s="2313"/>
      <c r="G47" s="337"/>
      <c r="H47" s="1427"/>
      <c r="I47" s="588"/>
      <c r="J47" s="508"/>
      <c r="K47" s="1427"/>
      <c r="L47" s="151"/>
      <c r="M47" s="2136"/>
      <c r="N47" s="271"/>
      <c r="O47" s="1551"/>
      <c r="P47" s="1551"/>
      <c r="AH47" s="1558">
        <v>0</v>
      </c>
    </row>
    <row r="48" spans="1:34" s="1562" customFormat="1" ht="18.75" hidden="1" customHeight="1">
      <c r="A48" s="1707" t="s">
        <v>207</v>
      </c>
      <c r="B48" s="1707" t="s">
        <v>208</v>
      </c>
      <c r="C48" s="306"/>
      <c r="D48" s="2378"/>
      <c r="E48" s="2175"/>
      <c r="F48" s="2313" t="str">
        <f>INDEX(PT_DIFFERENTIATION_VTAR,MATCH(A48,PT_DIFFERENTIATION_VTAR_ID,0))</f>
        <v>Плата за подключение (технологическое присоединение) к системе теплоснабжения (индивидуальная)</v>
      </c>
      <c r="G48" s="2353" t="str">
        <f>INDEX(PT_DIFFERENTIATION_NTAR,MATCH(B48,PT_DIFFERENTIATION_NTAR_ID,0))</f>
        <v/>
      </c>
      <c r="H48" s="1912"/>
      <c r="I48" s="1666"/>
      <c r="J48" s="1700"/>
      <c r="K48" s="1791"/>
      <c r="L48" s="1912" t="s">
        <v>308</v>
      </c>
      <c r="M48" s="2136"/>
      <c r="N48" s="271"/>
      <c r="O48" s="1551"/>
      <c r="P48" s="1551"/>
      <c r="AH48" s="1558">
        <v>0</v>
      </c>
    </row>
    <row r="49" spans="1:34" s="1562" customFormat="1" ht="18.75" hidden="1" customHeight="1">
      <c r="A49" s="1707"/>
      <c r="B49" s="1707"/>
      <c r="C49" s="306" t="s">
        <v>1147</v>
      </c>
      <c r="D49" s="2378"/>
      <c r="E49" s="2175"/>
      <c r="F49" s="2313"/>
      <c r="G49" s="2353"/>
      <c r="H49" s="1427"/>
      <c r="I49" s="588" t="s">
        <v>1148</v>
      </c>
      <c r="J49" s="508"/>
      <c r="K49" s="1427"/>
      <c r="L49" s="151"/>
      <c r="M49" s="2136"/>
      <c r="N49" s="271"/>
      <c r="O49" s="1551"/>
      <c r="P49" s="1551"/>
      <c r="AH49" s="1558">
        <v>0</v>
      </c>
    </row>
    <row r="50" spans="1:34" s="1562" customFormat="1" ht="0.75" hidden="1" customHeight="1">
      <c r="A50" s="1707"/>
      <c r="B50" s="1707"/>
      <c r="C50" s="306" t="s">
        <v>1153</v>
      </c>
      <c r="D50" s="2378"/>
      <c r="E50" s="2175"/>
      <c r="F50" s="2313"/>
      <c r="G50" s="337"/>
      <c r="H50" s="1427"/>
      <c r="I50" s="588"/>
      <c r="J50" s="508"/>
      <c r="K50" s="1427"/>
      <c r="L50" s="151"/>
      <c r="M50" s="2136"/>
      <c r="N50" s="271"/>
      <c r="O50" s="1551"/>
      <c r="P50" s="1551"/>
      <c r="AH50" s="1558">
        <v>0</v>
      </c>
    </row>
    <row r="51" spans="1:34" s="1562" customFormat="1" ht="18.75" hidden="1" customHeight="1">
      <c r="A51" s="1707" t="s">
        <v>227</v>
      </c>
      <c r="B51" s="1707" t="s">
        <v>228</v>
      </c>
      <c r="C51" s="306"/>
      <c r="D51" s="2378"/>
      <c r="E51" s="2175"/>
      <c r="F51" s="2313" t="str">
        <f>INDEX(PT_DIFFERENTIATION_VTAR,MATCH(A51,PT_DIFFERENTIATION_VTAR_ID,0))</f>
        <v>Тариф на питьевую воду (питьевое водоснабжение)</v>
      </c>
      <c r="G51" s="2353" t="str">
        <f>INDEX(PT_DIFFERENTIATION_NTAR,MATCH(B51,PT_DIFFERENTIATION_NTAR_ID,0))</f>
        <v/>
      </c>
      <c r="H51" s="1788"/>
      <c r="I51" s="1666"/>
      <c r="J51" s="1700"/>
      <c r="K51" s="1791"/>
      <c r="L51" s="1788" t="s">
        <v>308</v>
      </c>
      <c r="M51" s="2136"/>
      <c r="N51" s="271"/>
      <c r="O51" s="1551"/>
      <c r="P51" s="1551"/>
      <c r="AH51" s="1558">
        <v>0</v>
      </c>
    </row>
    <row r="52" spans="1:34" s="1562" customFormat="1" ht="18.75" hidden="1" customHeight="1">
      <c r="A52" s="1707"/>
      <c r="B52" s="1707"/>
      <c r="C52" s="306" t="s">
        <v>1147</v>
      </c>
      <c r="D52" s="2378"/>
      <c r="E52" s="2175"/>
      <c r="F52" s="2313"/>
      <c r="G52" s="2353"/>
      <c r="H52" s="1427"/>
      <c r="I52" s="588" t="s">
        <v>1148</v>
      </c>
      <c r="J52" s="508"/>
      <c r="K52" s="1427"/>
      <c r="L52" s="151"/>
      <c r="M52" s="2136"/>
      <c r="N52" s="271"/>
      <c r="O52" s="1551"/>
      <c r="P52" s="1551"/>
      <c r="AH52" s="1558">
        <v>0</v>
      </c>
    </row>
    <row r="53" spans="1:34" s="1562" customFormat="1" ht="0.75" hidden="1" customHeight="1">
      <c r="A53" s="1707"/>
      <c r="B53" s="1707"/>
      <c r="C53" s="306" t="s">
        <v>1153</v>
      </c>
      <c r="D53" s="2378"/>
      <c r="E53" s="2175"/>
      <c r="F53" s="2313"/>
      <c r="G53" s="337"/>
      <c r="H53" s="1427"/>
      <c r="I53" s="588"/>
      <c r="J53" s="508"/>
      <c r="K53" s="1427"/>
      <c r="L53" s="151"/>
      <c r="M53" s="2136"/>
      <c r="N53" s="271"/>
      <c r="O53" s="1551"/>
      <c r="P53" s="1551"/>
      <c r="AH53" s="1558">
        <v>0</v>
      </c>
    </row>
    <row r="54" spans="1:34" s="1562" customFormat="1" ht="18.75" hidden="1" customHeight="1">
      <c r="A54" s="1707" t="s">
        <v>232</v>
      </c>
      <c r="B54" s="1707" t="s">
        <v>233</v>
      </c>
      <c r="C54" s="306"/>
      <c r="D54" s="2378"/>
      <c r="E54" s="2175"/>
      <c r="F54" s="2313" t="str">
        <f>INDEX(PT_DIFFERENTIATION_VTAR,MATCH(A54,PT_DIFFERENTIATION_VTAR_ID,0))</f>
        <v>Тариф на техническую воду</v>
      </c>
      <c r="G54" s="2353" t="str">
        <f>INDEX(PT_DIFFERENTIATION_NTAR,MATCH(B54,PT_DIFFERENTIATION_NTAR_ID,0))</f>
        <v/>
      </c>
      <c r="H54" s="1788"/>
      <c r="I54" s="1666"/>
      <c r="J54" s="1700"/>
      <c r="K54" s="1791"/>
      <c r="L54" s="1788" t="s">
        <v>308</v>
      </c>
      <c r="M54" s="2136"/>
      <c r="N54" s="271"/>
      <c r="O54" s="1551"/>
      <c r="P54" s="1551"/>
      <c r="AH54" s="1558">
        <v>0</v>
      </c>
    </row>
    <row r="55" spans="1:34" s="1562" customFormat="1" ht="18.75" hidden="1" customHeight="1">
      <c r="A55" s="1707"/>
      <c r="B55" s="1707"/>
      <c r="C55" s="306" t="s">
        <v>1147</v>
      </c>
      <c r="D55" s="2378"/>
      <c r="E55" s="2175"/>
      <c r="F55" s="2313"/>
      <c r="G55" s="2353"/>
      <c r="H55" s="1427"/>
      <c r="I55" s="588" t="s">
        <v>1148</v>
      </c>
      <c r="J55" s="508"/>
      <c r="K55" s="1427"/>
      <c r="L55" s="151"/>
      <c r="M55" s="2136"/>
      <c r="N55" s="271"/>
      <c r="O55" s="1551"/>
      <c r="P55" s="1551"/>
      <c r="AH55" s="1558">
        <v>0</v>
      </c>
    </row>
    <row r="56" spans="1:34" s="1562" customFormat="1" ht="0.75" hidden="1" customHeight="1">
      <c r="A56" s="1707"/>
      <c r="B56" s="1707"/>
      <c r="C56" s="306" t="s">
        <v>1153</v>
      </c>
      <c r="D56" s="2378"/>
      <c r="E56" s="2175"/>
      <c r="F56" s="2313"/>
      <c r="G56" s="337"/>
      <c r="H56" s="1427"/>
      <c r="I56" s="588"/>
      <c r="J56" s="508"/>
      <c r="K56" s="1427"/>
      <c r="L56" s="151"/>
      <c r="M56" s="2136"/>
      <c r="N56" s="271"/>
      <c r="O56" s="1551"/>
      <c r="P56" s="1551"/>
      <c r="AH56" s="1558">
        <v>0</v>
      </c>
    </row>
    <row r="57" spans="1:34" s="1562" customFormat="1" ht="18.75" hidden="1" customHeight="1">
      <c r="A57" s="1707" t="s">
        <v>237</v>
      </c>
      <c r="B57" s="1707" t="s">
        <v>238</v>
      </c>
      <c r="C57" s="306"/>
      <c r="D57" s="2378"/>
      <c r="E57" s="2175"/>
      <c r="F57" s="2313" t="str">
        <f>INDEX(PT_DIFFERENTIATION_VTAR,MATCH(A57,PT_DIFFERENTIATION_VTAR_ID,0))</f>
        <v>Тариф на транспортировку воды</v>
      </c>
      <c r="G57" s="2353" t="str">
        <f>INDEX(PT_DIFFERENTIATION_NTAR,MATCH(B57,PT_DIFFERENTIATION_NTAR_ID,0))</f>
        <v/>
      </c>
      <c r="H57" s="1788"/>
      <c r="I57" s="1666"/>
      <c r="J57" s="1700"/>
      <c r="K57" s="1791"/>
      <c r="L57" s="1788" t="s">
        <v>308</v>
      </c>
      <c r="M57" s="2136"/>
      <c r="N57" s="271"/>
      <c r="O57" s="1551"/>
      <c r="P57" s="1551"/>
      <c r="AH57" s="1558">
        <v>0</v>
      </c>
    </row>
    <row r="58" spans="1:34" s="1562" customFormat="1" ht="18.75" hidden="1" customHeight="1">
      <c r="A58" s="1707"/>
      <c r="B58" s="1707"/>
      <c r="C58" s="306" t="s">
        <v>1147</v>
      </c>
      <c r="D58" s="2378"/>
      <c r="E58" s="2175"/>
      <c r="F58" s="2313"/>
      <c r="G58" s="2353"/>
      <c r="H58" s="1427"/>
      <c r="I58" s="588" t="s">
        <v>1148</v>
      </c>
      <c r="J58" s="508"/>
      <c r="K58" s="1427"/>
      <c r="L58" s="151"/>
      <c r="M58" s="2136"/>
      <c r="N58" s="271"/>
      <c r="O58" s="1551"/>
      <c r="P58" s="1551"/>
      <c r="AH58" s="1558">
        <v>0</v>
      </c>
    </row>
    <row r="59" spans="1:34" s="1562" customFormat="1" ht="0.75" hidden="1" customHeight="1">
      <c r="A59" s="1707"/>
      <c r="B59" s="1707"/>
      <c r="C59" s="306" t="s">
        <v>1153</v>
      </c>
      <c r="D59" s="2378"/>
      <c r="E59" s="2175"/>
      <c r="F59" s="2313"/>
      <c r="G59" s="337"/>
      <c r="H59" s="1427"/>
      <c r="I59" s="588"/>
      <c r="J59" s="508"/>
      <c r="K59" s="1427"/>
      <c r="L59" s="151"/>
      <c r="M59" s="2136"/>
      <c r="N59" s="271"/>
      <c r="O59" s="1551"/>
      <c r="P59" s="1551"/>
      <c r="AH59" s="1558">
        <v>0</v>
      </c>
    </row>
    <row r="60" spans="1:34" s="1562" customFormat="1" ht="18.75" hidden="1" customHeight="1">
      <c r="A60" s="1707" t="s">
        <v>242</v>
      </c>
      <c r="B60" s="1707" t="s">
        <v>243</v>
      </c>
      <c r="C60" s="306"/>
      <c r="D60" s="2378"/>
      <c r="E60" s="2175"/>
      <c r="F60" s="2313" t="str">
        <f>INDEX(PT_DIFFERENTIATION_VTAR,MATCH(A60,PT_DIFFERENTIATION_VTAR_ID,0))</f>
        <v>Тариф на подвоз воды</v>
      </c>
      <c r="G60" s="2353" t="str">
        <f>INDEX(PT_DIFFERENTIATION_NTAR,MATCH(B60,PT_DIFFERENTIATION_NTAR_ID,0))</f>
        <v/>
      </c>
      <c r="H60" s="1788"/>
      <c r="I60" s="1666"/>
      <c r="J60" s="1700"/>
      <c r="K60" s="1791"/>
      <c r="L60" s="1788" t="s">
        <v>308</v>
      </c>
      <c r="M60" s="2136"/>
      <c r="N60" s="271"/>
      <c r="O60" s="1551"/>
      <c r="P60" s="1551"/>
      <c r="AH60" s="1558">
        <v>0</v>
      </c>
    </row>
    <row r="61" spans="1:34" s="1562" customFormat="1" ht="18.75" hidden="1" customHeight="1">
      <c r="A61" s="1707"/>
      <c r="B61" s="1707"/>
      <c r="C61" s="306" t="s">
        <v>1147</v>
      </c>
      <c r="D61" s="2378"/>
      <c r="E61" s="2175"/>
      <c r="F61" s="2313"/>
      <c r="G61" s="2353"/>
      <c r="H61" s="1427"/>
      <c r="I61" s="588" t="s">
        <v>1148</v>
      </c>
      <c r="J61" s="508"/>
      <c r="K61" s="1427"/>
      <c r="L61" s="151"/>
      <c r="M61" s="2136"/>
      <c r="N61" s="271"/>
      <c r="O61" s="1551"/>
      <c r="P61" s="1551"/>
      <c r="AH61" s="1558">
        <v>0</v>
      </c>
    </row>
    <row r="62" spans="1:34" s="1562" customFormat="1" ht="0.75" hidden="1" customHeight="1">
      <c r="A62" s="1707"/>
      <c r="B62" s="1707"/>
      <c r="C62" s="306" t="s">
        <v>1153</v>
      </c>
      <c r="D62" s="2378"/>
      <c r="E62" s="2175"/>
      <c r="F62" s="2313"/>
      <c r="G62" s="337"/>
      <c r="H62" s="1427"/>
      <c r="I62" s="588"/>
      <c r="J62" s="508"/>
      <c r="K62" s="1427"/>
      <c r="L62" s="151"/>
      <c r="M62" s="2136"/>
      <c r="N62" s="271"/>
      <c r="O62" s="1551"/>
      <c r="P62" s="1551"/>
      <c r="AH62" s="1558">
        <v>0</v>
      </c>
    </row>
    <row r="63" spans="1:34" s="1562" customFormat="1" ht="18.75" hidden="1" customHeight="1">
      <c r="A63" s="1707" t="s">
        <v>247</v>
      </c>
      <c r="B63" s="1707" t="s">
        <v>248</v>
      </c>
      <c r="C63" s="306"/>
      <c r="D63" s="2378"/>
      <c r="E63" s="2175"/>
      <c r="F63" s="231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3" t="str">
        <f>INDEX(PT_DIFFERENTIATION_NTAR,MATCH(B63,PT_DIFFERENTIATION_NTAR_ID,0))</f>
        <v/>
      </c>
      <c r="H63" s="1788"/>
      <c r="I63" s="1666"/>
      <c r="J63" s="1700"/>
      <c r="K63" s="1791"/>
      <c r="L63" s="1788" t="s">
        <v>308</v>
      </c>
      <c r="M63" s="2136"/>
      <c r="N63" s="271"/>
      <c r="O63" s="1551"/>
      <c r="P63" s="1551"/>
      <c r="AH63" s="1558">
        <v>0</v>
      </c>
    </row>
    <row r="64" spans="1:34" s="1562" customFormat="1" ht="18.75" hidden="1" customHeight="1">
      <c r="A64" s="1707"/>
      <c r="B64" s="1707"/>
      <c r="C64" s="306" t="s">
        <v>1147</v>
      </c>
      <c r="D64" s="2378"/>
      <c r="E64" s="2175"/>
      <c r="F64" s="2313"/>
      <c r="G64" s="2353"/>
      <c r="H64" s="1427"/>
      <c r="I64" s="588" t="s">
        <v>1148</v>
      </c>
      <c r="J64" s="508"/>
      <c r="K64" s="1427"/>
      <c r="L64" s="151"/>
      <c r="M64" s="2136"/>
      <c r="N64" s="271"/>
      <c r="O64" s="1551"/>
      <c r="P64" s="1551"/>
      <c r="AH64" s="1558">
        <v>0</v>
      </c>
    </row>
    <row r="65" spans="1:34" s="1562" customFormat="1" ht="0.75" hidden="1" customHeight="1">
      <c r="A65" s="1707"/>
      <c r="B65" s="1707"/>
      <c r="C65" s="306" t="s">
        <v>1153</v>
      </c>
      <c r="D65" s="2378"/>
      <c r="E65" s="2175"/>
      <c r="F65" s="2313"/>
      <c r="G65" s="337"/>
      <c r="H65" s="1427"/>
      <c r="I65" s="588"/>
      <c r="J65" s="508"/>
      <c r="K65" s="1427"/>
      <c r="L65" s="151"/>
      <c r="M65" s="2136"/>
      <c r="N65" s="271"/>
      <c r="O65" s="1551"/>
      <c r="P65" s="1551"/>
      <c r="AH65" s="1558">
        <v>0</v>
      </c>
    </row>
    <row r="66" spans="1:34" s="1562" customFormat="1" ht="18.75" hidden="1" customHeight="1">
      <c r="A66" s="1707" t="s">
        <v>252</v>
      </c>
      <c r="B66" s="1707" t="s">
        <v>253</v>
      </c>
      <c r="C66" s="306"/>
      <c r="D66" s="2378"/>
      <c r="E66" s="2175"/>
      <c r="F66" s="2313" t="str">
        <f>INDEX(PT_DIFFERENTIATION_VTAR,MATCH(A66,PT_DIFFERENTIATION_VTAR_ID,0))</f>
        <v>Тариф на горячую воду (горячее водоснабжение)</v>
      </c>
      <c r="G66" s="2353" t="str">
        <f>INDEX(PT_DIFFERENTIATION_NTAR,MATCH(B66,PT_DIFFERENTIATION_NTAR_ID,0))</f>
        <v/>
      </c>
      <c r="H66" s="1788"/>
      <c r="I66" s="1666"/>
      <c r="J66" s="1700"/>
      <c r="K66" s="1791"/>
      <c r="L66" s="1788" t="s">
        <v>308</v>
      </c>
      <c r="M66" s="2136"/>
      <c r="N66" s="271"/>
      <c r="O66" s="1551"/>
      <c r="P66" s="1551"/>
      <c r="AH66" s="1558">
        <v>0</v>
      </c>
    </row>
    <row r="67" spans="1:34" s="1562" customFormat="1" ht="18.75" hidden="1" customHeight="1">
      <c r="A67" s="1707"/>
      <c r="B67" s="1707"/>
      <c r="C67" s="306" t="s">
        <v>1147</v>
      </c>
      <c r="D67" s="2378"/>
      <c r="E67" s="2175"/>
      <c r="F67" s="2313"/>
      <c r="G67" s="2353"/>
      <c r="H67" s="1427"/>
      <c r="I67" s="588" t="s">
        <v>1148</v>
      </c>
      <c r="J67" s="508"/>
      <c r="K67" s="1427"/>
      <c r="L67" s="151"/>
      <c r="M67" s="2136"/>
      <c r="N67" s="271"/>
      <c r="O67" s="1551"/>
      <c r="P67" s="1551"/>
      <c r="AH67" s="1558">
        <v>0</v>
      </c>
    </row>
    <row r="68" spans="1:34" s="1562" customFormat="1" ht="0.75" hidden="1" customHeight="1">
      <c r="A68" s="1707"/>
      <c r="B68" s="1707"/>
      <c r="C68" s="306" t="s">
        <v>1153</v>
      </c>
      <c r="D68" s="2378"/>
      <c r="E68" s="2175"/>
      <c r="F68" s="2313"/>
      <c r="G68" s="337"/>
      <c r="H68" s="1427"/>
      <c r="I68" s="588"/>
      <c r="J68" s="508"/>
      <c r="K68" s="1427"/>
      <c r="L68" s="151"/>
      <c r="M68" s="2136"/>
      <c r="N68" s="271"/>
      <c r="O68" s="1551"/>
      <c r="P68" s="1551"/>
      <c r="AH68" s="1558">
        <v>0</v>
      </c>
    </row>
    <row r="69" spans="1:34" s="1562" customFormat="1" ht="18.75" hidden="1" customHeight="1">
      <c r="A69" s="1707" t="s">
        <v>257</v>
      </c>
      <c r="B69" s="1707" t="s">
        <v>258</v>
      </c>
      <c r="C69" s="306"/>
      <c r="D69" s="2378"/>
      <c r="E69" s="2175"/>
      <c r="F69" s="2313" t="str">
        <f>INDEX(PT_DIFFERENTIATION_VTAR,MATCH(A69,PT_DIFFERENTIATION_VTAR_ID,0))</f>
        <v>Тариф на транспортировку горячей воды</v>
      </c>
      <c r="G69" s="2353" t="str">
        <f>INDEX(PT_DIFFERENTIATION_NTAR,MATCH(B69,PT_DIFFERENTIATION_NTAR_ID,0))</f>
        <v/>
      </c>
      <c r="H69" s="1788"/>
      <c r="I69" s="1666"/>
      <c r="J69" s="1700"/>
      <c r="K69" s="1791"/>
      <c r="L69" s="1788" t="s">
        <v>308</v>
      </c>
      <c r="M69" s="2136"/>
      <c r="N69" s="271"/>
      <c r="O69" s="1551"/>
      <c r="P69" s="1551"/>
      <c r="AH69" s="1558">
        <v>0</v>
      </c>
    </row>
    <row r="70" spans="1:34" s="1562" customFormat="1" ht="18.75" hidden="1" customHeight="1">
      <c r="A70" s="1707"/>
      <c r="B70" s="1707"/>
      <c r="C70" s="306" t="s">
        <v>1147</v>
      </c>
      <c r="D70" s="2378"/>
      <c r="E70" s="2175"/>
      <c r="F70" s="2313"/>
      <c r="G70" s="2353"/>
      <c r="H70" s="1427"/>
      <c r="I70" s="588" t="s">
        <v>1148</v>
      </c>
      <c r="J70" s="508"/>
      <c r="K70" s="1427"/>
      <c r="L70" s="151"/>
      <c r="M70" s="2136"/>
      <c r="N70" s="271"/>
      <c r="O70" s="1551"/>
      <c r="P70" s="1551"/>
      <c r="AH70" s="1558">
        <v>0</v>
      </c>
    </row>
    <row r="71" spans="1:34" s="1562" customFormat="1" ht="0.75" hidden="1" customHeight="1">
      <c r="A71" s="1707"/>
      <c r="B71" s="1707"/>
      <c r="C71" s="306" t="s">
        <v>1153</v>
      </c>
      <c r="D71" s="2378"/>
      <c r="E71" s="2175"/>
      <c r="F71" s="2313"/>
      <c r="G71" s="337"/>
      <c r="H71" s="1427"/>
      <c r="I71" s="588"/>
      <c r="J71" s="508"/>
      <c r="K71" s="1427"/>
      <c r="L71" s="151"/>
      <c r="M71" s="2136"/>
      <c r="N71" s="271"/>
      <c r="O71" s="1551"/>
      <c r="P71" s="1551"/>
      <c r="AH71" s="1558">
        <v>0</v>
      </c>
    </row>
    <row r="72" spans="1:34" s="1562" customFormat="1" ht="18.75" hidden="1" customHeight="1">
      <c r="A72" s="1707" t="s">
        <v>262</v>
      </c>
      <c r="B72" s="1707" t="s">
        <v>263</v>
      </c>
      <c r="C72" s="306"/>
      <c r="D72" s="2378"/>
      <c r="E72" s="2175"/>
      <c r="F72" s="2313" t="str">
        <f>INDEX(PT_DIFFERENTIATION_VTAR,MATCH(A72,PT_DIFFERENTIATION_VTAR_ID,0))</f>
        <v>Тариф на подключение (технологическое присоединение) к централизованной системе горячего водоснабжения</v>
      </c>
      <c r="G72" s="2353" t="str">
        <f>INDEX(PT_DIFFERENTIATION_NTAR,MATCH(B72,PT_DIFFERENTIATION_NTAR_ID,0))</f>
        <v/>
      </c>
      <c r="H72" s="1788"/>
      <c r="I72" s="1666"/>
      <c r="J72" s="1700"/>
      <c r="K72" s="1791"/>
      <c r="L72" s="1788" t="s">
        <v>308</v>
      </c>
      <c r="M72" s="2136"/>
      <c r="N72" s="271"/>
      <c r="O72" s="1551"/>
      <c r="P72" s="1551"/>
      <c r="AH72" s="1558">
        <v>0</v>
      </c>
    </row>
    <row r="73" spans="1:34" s="1562" customFormat="1" ht="18.75" hidden="1" customHeight="1">
      <c r="A73" s="1707"/>
      <c r="B73" s="1707"/>
      <c r="C73" s="306" t="s">
        <v>1147</v>
      </c>
      <c r="D73" s="2378"/>
      <c r="E73" s="2175"/>
      <c r="F73" s="2313"/>
      <c r="G73" s="2353"/>
      <c r="H73" s="1427"/>
      <c r="I73" s="588" t="s">
        <v>1148</v>
      </c>
      <c r="J73" s="508"/>
      <c r="K73" s="1427"/>
      <c r="L73" s="151"/>
      <c r="M73" s="2136"/>
      <c r="N73" s="271"/>
      <c r="O73" s="1551"/>
      <c r="P73" s="1551"/>
      <c r="AH73" s="1558">
        <v>0</v>
      </c>
    </row>
    <row r="74" spans="1:34" s="1562" customFormat="1" ht="0.75" hidden="1" customHeight="1">
      <c r="A74" s="1707"/>
      <c r="B74" s="1707"/>
      <c r="C74" s="306" t="s">
        <v>1153</v>
      </c>
      <c r="D74" s="2378"/>
      <c r="E74" s="2175"/>
      <c r="F74" s="2313"/>
      <c r="G74" s="337"/>
      <c r="H74" s="1427"/>
      <c r="I74" s="588"/>
      <c r="J74" s="508"/>
      <c r="K74" s="1427"/>
      <c r="L74" s="151"/>
      <c r="M74" s="2136"/>
      <c r="N74" s="271"/>
      <c r="O74" s="1551"/>
      <c r="P74" s="1551"/>
      <c r="AH74" s="1558">
        <v>0</v>
      </c>
    </row>
    <row r="75" spans="1:34" s="1562" customFormat="1" ht="18.75" hidden="1" customHeight="1">
      <c r="A75" s="1707" t="s">
        <v>267</v>
      </c>
      <c r="B75" s="1707" t="s">
        <v>268</v>
      </c>
      <c r="C75" s="306"/>
      <c r="D75" s="2378"/>
      <c r="E75" s="2175"/>
      <c r="F75" s="2313" t="str">
        <f>INDEX(PT_DIFFERENTIATION_VTAR,MATCH(A75,PT_DIFFERENTIATION_VTAR_ID,0))</f>
        <v>Тариф на водоотведение</v>
      </c>
      <c r="G75" s="2353" t="str">
        <f>INDEX(PT_DIFFERENTIATION_NTAR,MATCH(B75,PT_DIFFERENTIATION_NTAR_ID,0))</f>
        <v/>
      </c>
      <c r="H75" s="1788"/>
      <c r="I75" s="1666"/>
      <c r="J75" s="1700"/>
      <c r="K75" s="1791"/>
      <c r="L75" s="1788" t="s">
        <v>308</v>
      </c>
      <c r="M75" s="2136"/>
      <c r="N75" s="271"/>
      <c r="O75" s="1551"/>
      <c r="P75" s="1551"/>
      <c r="AH75" s="1558">
        <v>0</v>
      </c>
    </row>
    <row r="76" spans="1:34" s="1562" customFormat="1" ht="18.75" hidden="1" customHeight="1">
      <c r="A76" s="1707"/>
      <c r="B76" s="1707"/>
      <c r="C76" s="306" t="s">
        <v>1147</v>
      </c>
      <c r="D76" s="2378"/>
      <c r="E76" s="2175"/>
      <c r="F76" s="2313"/>
      <c r="G76" s="2353"/>
      <c r="H76" s="1427"/>
      <c r="I76" s="588" t="s">
        <v>1148</v>
      </c>
      <c r="J76" s="508"/>
      <c r="K76" s="1427"/>
      <c r="L76" s="151"/>
      <c r="M76" s="2136"/>
      <c r="N76" s="271"/>
      <c r="O76" s="1551"/>
      <c r="P76" s="1551"/>
      <c r="AH76" s="1558">
        <v>0</v>
      </c>
    </row>
    <row r="77" spans="1:34" s="1562" customFormat="1" ht="0.75" hidden="1" customHeight="1">
      <c r="A77" s="1707"/>
      <c r="B77" s="1707"/>
      <c r="C77" s="306" t="s">
        <v>1153</v>
      </c>
      <c r="D77" s="2378"/>
      <c r="E77" s="2175"/>
      <c r="F77" s="2313"/>
      <c r="G77" s="337"/>
      <c r="H77" s="1427"/>
      <c r="I77" s="588"/>
      <c r="J77" s="508"/>
      <c r="K77" s="1427"/>
      <c r="L77" s="151"/>
      <c r="M77" s="2136"/>
      <c r="N77" s="271"/>
      <c r="O77" s="1551"/>
      <c r="P77" s="1551"/>
      <c r="AH77" s="1558">
        <v>0</v>
      </c>
    </row>
    <row r="78" spans="1:34" s="1562" customFormat="1" ht="18.75" hidden="1" customHeight="1">
      <c r="A78" s="1707" t="s">
        <v>272</v>
      </c>
      <c r="B78" s="1707" t="s">
        <v>273</v>
      </c>
      <c r="C78" s="306"/>
      <c r="D78" s="2378"/>
      <c r="E78" s="2175"/>
      <c r="F78" s="2313" t="str">
        <f>INDEX(PT_DIFFERENTIATION_VTAR,MATCH(A78,PT_DIFFERENTIATION_VTAR_ID,0))</f>
        <v>Тариф на транспортировку сточных вод</v>
      </c>
      <c r="G78" s="2353" t="str">
        <f>INDEX(PT_DIFFERENTIATION_NTAR,MATCH(B78,PT_DIFFERENTIATION_NTAR_ID,0))</f>
        <v/>
      </c>
      <c r="H78" s="1788"/>
      <c r="I78" s="1666"/>
      <c r="J78" s="1700"/>
      <c r="K78" s="1791"/>
      <c r="L78" s="1788" t="s">
        <v>308</v>
      </c>
      <c r="M78" s="2136"/>
      <c r="N78" s="271"/>
      <c r="O78" s="1551"/>
      <c r="P78" s="1551"/>
      <c r="AH78" s="1558">
        <v>0</v>
      </c>
    </row>
    <row r="79" spans="1:34" s="1562" customFormat="1" ht="18.75" hidden="1" customHeight="1">
      <c r="A79" s="1707"/>
      <c r="B79" s="1707"/>
      <c r="C79" s="306" t="s">
        <v>1147</v>
      </c>
      <c r="D79" s="2378"/>
      <c r="E79" s="2175"/>
      <c r="F79" s="2313"/>
      <c r="G79" s="2353"/>
      <c r="H79" s="1427"/>
      <c r="I79" s="588" t="s">
        <v>1148</v>
      </c>
      <c r="J79" s="508"/>
      <c r="K79" s="1427"/>
      <c r="L79" s="151"/>
      <c r="M79" s="2136"/>
      <c r="N79" s="271"/>
      <c r="O79" s="1551"/>
      <c r="P79" s="1551"/>
      <c r="AH79" s="1558">
        <v>0</v>
      </c>
    </row>
    <row r="80" spans="1:34" s="1562" customFormat="1" ht="0.75" hidden="1" customHeight="1">
      <c r="A80" s="1707"/>
      <c r="B80" s="1707"/>
      <c r="C80" s="306" t="s">
        <v>1153</v>
      </c>
      <c r="D80" s="2378"/>
      <c r="E80" s="2175"/>
      <c r="F80" s="2313"/>
      <c r="G80" s="337"/>
      <c r="H80" s="1427"/>
      <c r="I80" s="588"/>
      <c r="J80" s="508"/>
      <c r="K80" s="1427"/>
      <c r="L80" s="151"/>
      <c r="M80" s="2136"/>
      <c r="N80" s="271"/>
      <c r="O80" s="1551"/>
      <c r="P80" s="1551"/>
      <c r="AH80" s="1558">
        <v>0</v>
      </c>
    </row>
    <row r="81" spans="1:34" s="1562" customFormat="1" ht="18.75" hidden="1" customHeight="1">
      <c r="A81" s="1707" t="s">
        <v>277</v>
      </c>
      <c r="B81" s="1707" t="s">
        <v>278</v>
      </c>
      <c r="C81" s="306"/>
      <c r="D81" s="2378"/>
      <c r="E81" s="2175"/>
      <c r="F81" s="2313" t="str">
        <f>INDEX(PT_DIFFERENTIATION_VTAR,MATCH(A81,PT_DIFFERENTIATION_VTAR_ID,0))</f>
        <v>Тариф на подключение (технологическое присоединение) к централизованной системе водоотведения</v>
      </c>
      <c r="G81" s="2353" t="str">
        <f>INDEX(PT_DIFFERENTIATION_NTAR,MATCH(B81,PT_DIFFERENTIATION_NTAR_ID,0))</f>
        <v/>
      </c>
      <c r="H81" s="1788"/>
      <c r="I81" s="1666"/>
      <c r="J81" s="1700"/>
      <c r="K81" s="1791"/>
      <c r="L81" s="1788" t="s">
        <v>308</v>
      </c>
      <c r="M81" s="2136"/>
      <c r="N81" s="271"/>
      <c r="O81" s="1551"/>
      <c r="P81" s="1551"/>
      <c r="AH81" s="1558">
        <v>0</v>
      </c>
    </row>
    <row r="82" spans="1:34" s="1562" customFormat="1" ht="18.75" hidden="1" customHeight="1">
      <c r="A82" s="1707"/>
      <c r="B82" s="1707"/>
      <c r="C82" s="306" t="s">
        <v>1147</v>
      </c>
      <c r="D82" s="2378"/>
      <c r="E82" s="2175"/>
      <c r="F82" s="2313"/>
      <c r="G82" s="2353"/>
      <c r="H82" s="1427"/>
      <c r="I82" s="588" t="s">
        <v>1148</v>
      </c>
      <c r="J82" s="508"/>
      <c r="K82" s="1427"/>
      <c r="L82" s="151"/>
      <c r="M82" s="2136"/>
      <c r="N82" s="271"/>
      <c r="O82" s="1551"/>
      <c r="P82" s="1551"/>
      <c r="AH82" s="1558">
        <v>0</v>
      </c>
    </row>
    <row r="83" spans="1:34" s="1562" customFormat="1" ht="1.1499999999999999" customHeight="1">
      <c r="A83" s="1707"/>
      <c r="B83" s="1707"/>
      <c r="C83" s="306" t="s">
        <v>1153</v>
      </c>
      <c r="D83" s="2378"/>
      <c r="E83" s="2175"/>
      <c r="F83" s="2313"/>
      <c r="G83" s="337"/>
      <c r="H83" s="1427"/>
      <c r="I83" s="588"/>
      <c r="J83" s="508"/>
      <c r="K83" s="1427"/>
      <c r="L83" s="151"/>
      <c r="M83" s="2136"/>
      <c r="N83" s="271"/>
      <c r="O83" s="1551"/>
      <c r="P83" s="1551"/>
      <c r="AH83" s="1558">
        <v>1</v>
      </c>
    </row>
    <row r="84" spans="1:34" ht="19.899999999999999" customHeight="1">
      <c r="A84" s="1707"/>
      <c r="B84" s="1707"/>
      <c r="D84" s="313"/>
      <c r="E84" s="84" t="s">
        <v>109</v>
      </c>
      <c r="F84" s="237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77"/>
      <c r="H84" s="2377"/>
      <c r="I84" s="2377"/>
      <c r="J84" s="2377"/>
      <c r="K84" s="2377"/>
      <c r="L84" s="2377"/>
      <c r="M84" s="234"/>
      <c r="N84" s="271"/>
      <c r="AH84" s="311">
        <v>19</v>
      </c>
    </row>
    <row r="85" spans="1:34" ht="35.65" customHeight="1">
      <c r="A85" s="1707"/>
      <c r="B85" s="1707"/>
      <c r="D85" s="313"/>
      <c r="E85" s="336"/>
      <c r="F85" s="135" t="s">
        <v>308</v>
      </c>
      <c r="G85" s="135" t="s">
        <v>308</v>
      </c>
      <c r="H85" s="2185" t="s">
        <v>308</v>
      </c>
      <c r="I85" s="2199"/>
      <c r="J85" s="135" t="s">
        <v>308</v>
      </c>
      <c r="K85" s="135" t="s">
        <v>308</v>
      </c>
      <c r="L85" s="338"/>
      <c r="M85" s="282" t="s">
        <v>1154</v>
      </c>
      <c r="N85" s="271"/>
      <c r="AH85" s="311">
        <v>34</v>
      </c>
    </row>
    <row r="86" spans="1:34" ht="19.899999999999999" customHeight="1">
      <c r="A86" s="1707"/>
      <c r="B86" s="1707"/>
      <c r="D86" s="313"/>
      <c r="E86" s="84" t="s">
        <v>89</v>
      </c>
      <c r="F86" s="2377" t="s">
        <v>1155</v>
      </c>
      <c r="G86" s="2377"/>
      <c r="H86" s="2377"/>
      <c r="I86" s="2377"/>
      <c r="J86" s="2377"/>
      <c r="K86" s="2377"/>
      <c r="L86" s="2377"/>
      <c r="M86" s="234"/>
      <c r="N86" s="271"/>
      <c r="AH86" s="311">
        <v>19</v>
      </c>
    </row>
    <row r="87" spans="1:34" s="1562" customFormat="1" ht="60.75" hidden="1" customHeight="1">
      <c r="A87" s="1707" t="s">
        <v>159</v>
      </c>
      <c r="B87" s="1707" t="s">
        <v>160</v>
      </c>
      <c r="C87" s="306"/>
      <c r="D87" s="2378"/>
      <c r="E87" s="2175"/>
      <c r="F87" s="231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3" t="str">
        <f>INDEX(PT_DIFFERENTIATION_NTAR,MATCH(B87,PT_DIFFERENTIATION_NTAR_ID,0))</f>
        <v/>
      </c>
      <c r="H87" s="1788"/>
      <c r="I87" s="1666"/>
      <c r="J87" s="1700"/>
      <c r="K87" s="1705"/>
      <c r="L87" s="1788" t="s">
        <v>308</v>
      </c>
      <c r="M87" s="21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1149</v>
      </c>
      <c r="D88" s="2378"/>
      <c r="E88" s="2175"/>
      <c r="F88" s="2313"/>
      <c r="G88" s="2353"/>
      <c r="H88" s="1427"/>
      <c r="I88" s="588" t="s">
        <v>1148</v>
      </c>
      <c r="J88" s="508"/>
      <c r="K88" s="1427"/>
      <c r="L88" s="151"/>
      <c r="M88" s="2136"/>
      <c r="N88" s="271"/>
      <c r="O88" s="1551"/>
      <c r="P88" s="1551"/>
      <c r="AH88" s="1558">
        <v>0</v>
      </c>
    </row>
    <row r="89" spans="1:34" s="1562" customFormat="1" ht="0.75" hidden="1" customHeight="1">
      <c r="A89" s="1707"/>
      <c r="B89" s="1707"/>
      <c r="C89" s="306" t="s">
        <v>1156</v>
      </c>
      <c r="D89" s="2378"/>
      <c r="E89" s="2175"/>
      <c r="F89" s="2313"/>
      <c r="G89" s="337"/>
      <c r="H89" s="1427"/>
      <c r="I89" s="588"/>
      <c r="J89" s="508"/>
      <c r="K89" s="1427"/>
      <c r="L89" s="151"/>
      <c r="M89" s="2136"/>
      <c r="N89" s="271"/>
      <c r="O89" s="1551"/>
      <c r="P89" s="1551"/>
      <c r="AH89" s="1558">
        <v>0</v>
      </c>
    </row>
    <row r="90" spans="1:34" s="1562" customFormat="1" ht="45" hidden="1" customHeight="1">
      <c r="A90" s="1707" t="s">
        <v>164</v>
      </c>
      <c r="B90" s="1707" t="s">
        <v>165</v>
      </c>
      <c r="C90" s="306"/>
      <c r="D90" s="2378"/>
      <c r="E90" s="2175"/>
      <c r="F90" s="2313" t="str">
        <f>INDEX(PT_DIFFERENTIATION_VTAR,MATCH(A90,PT_DIFFERENTIATION_VTAR_ID,0))</f>
        <v/>
      </c>
      <c r="G90" s="2353" t="str">
        <f>INDEX(PT_DIFFERENTIATION_NTAR,MATCH(B90,PT_DIFFERENTIATION_NTAR_ID,0))</f>
        <v/>
      </c>
      <c r="H90" s="1788"/>
      <c r="I90" s="1666"/>
      <c r="J90" s="1700"/>
      <c r="K90" s="1705"/>
      <c r="L90" s="1788" t="s">
        <v>308</v>
      </c>
      <c r="M90" s="2137"/>
      <c r="N90" s="271"/>
      <c r="O90" s="1551"/>
      <c r="P90" s="1551"/>
      <c r="AH90" s="1558">
        <v>0</v>
      </c>
    </row>
    <row r="91" spans="1:34" s="1562" customFormat="1" ht="18.75" hidden="1" customHeight="1">
      <c r="A91" s="1707"/>
      <c r="B91" s="1707"/>
      <c r="C91" s="306" t="s">
        <v>1149</v>
      </c>
      <c r="D91" s="2378"/>
      <c r="E91" s="2175"/>
      <c r="F91" s="2313"/>
      <c r="G91" s="2353"/>
      <c r="H91" s="1427"/>
      <c r="I91" s="588" t="s">
        <v>1148</v>
      </c>
      <c r="J91" s="508"/>
      <c r="K91" s="1427"/>
      <c r="L91" s="151"/>
      <c r="M91" s="1787"/>
      <c r="N91" s="271"/>
      <c r="O91" s="1551"/>
      <c r="P91" s="1551"/>
      <c r="AH91" s="1558">
        <v>0</v>
      </c>
    </row>
    <row r="92" spans="1:34" s="1562" customFormat="1" ht="0.75" hidden="1" customHeight="1">
      <c r="A92" s="1707"/>
      <c r="B92" s="1707"/>
      <c r="C92" s="306" t="s">
        <v>1156</v>
      </c>
      <c r="D92" s="2378"/>
      <c r="E92" s="2175"/>
      <c r="F92" s="2313"/>
      <c r="G92" s="337"/>
      <c r="H92" s="1427"/>
      <c r="I92" s="588"/>
      <c r="J92" s="508"/>
      <c r="K92" s="1427"/>
      <c r="L92" s="151"/>
      <c r="M92" s="278"/>
      <c r="N92" s="271"/>
      <c r="O92" s="1551"/>
      <c r="P92" s="1551"/>
      <c r="AH92" s="1558">
        <v>0</v>
      </c>
    </row>
    <row r="93" spans="1:34" s="1562" customFormat="1" ht="45" hidden="1" customHeight="1">
      <c r="A93" s="1707" t="s">
        <v>171</v>
      </c>
      <c r="B93" s="1707" t="s">
        <v>172</v>
      </c>
      <c r="C93" s="306"/>
      <c r="D93" s="2378"/>
      <c r="E93" s="2175"/>
      <c r="F93" s="231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3" t="str">
        <f>INDEX(PT_DIFFERENTIATION_NTAR,MATCH(B93,PT_DIFFERENTIATION_NTAR_ID,0))</f>
        <v/>
      </c>
      <c r="H93" s="1788"/>
      <c r="I93" s="1666"/>
      <c r="J93" s="1700"/>
      <c r="K93" s="1705"/>
      <c r="L93" s="1788" t="s">
        <v>308</v>
      </c>
      <c r="M93" s="278"/>
      <c r="N93" s="271"/>
      <c r="O93" s="1551"/>
      <c r="P93" s="1551"/>
      <c r="AH93" s="1558">
        <v>0</v>
      </c>
    </row>
    <row r="94" spans="1:34" s="1562" customFormat="1" ht="18.75" hidden="1" customHeight="1">
      <c r="A94" s="1707"/>
      <c r="B94" s="1707"/>
      <c r="C94" s="306" t="s">
        <v>1149</v>
      </c>
      <c r="D94" s="2378"/>
      <c r="E94" s="2175"/>
      <c r="F94" s="2313"/>
      <c r="G94" s="2353"/>
      <c r="H94" s="1427"/>
      <c r="I94" s="588" t="s">
        <v>1148</v>
      </c>
      <c r="J94" s="508"/>
      <c r="K94" s="1427"/>
      <c r="L94" s="151"/>
      <c r="M94" s="278"/>
      <c r="N94" s="271"/>
      <c r="O94" s="1551"/>
      <c r="P94" s="1551"/>
      <c r="AH94" s="1558">
        <v>0</v>
      </c>
    </row>
    <row r="95" spans="1:34" s="1562" customFormat="1" ht="0.75" hidden="1" customHeight="1">
      <c r="A95" s="1707"/>
      <c r="B95" s="1707"/>
      <c r="C95" s="306" t="s">
        <v>1156</v>
      </c>
      <c r="D95" s="2378"/>
      <c r="E95" s="2175"/>
      <c r="F95" s="2313"/>
      <c r="G95" s="337"/>
      <c r="H95" s="1427"/>
      <c r="I95" s="588"/>
      <c r="J95" s="508"/>
      <c r="K95" s="1427"/>
      <c r="L95" s="151"/>
      <c r="M95" s="278"/>
      <c r="N95" s="271"/>
      <c r="O95" s="1551"/>
      <c r="P95" s="1551"/>
      <c r="AH95" s="1558">
        <v>0</v>
      </c>
    </row>
    <row r="96" spans="1:34" s="1562" customFormat="1" ht="45" hidden="1" customHeight="1">
      <c r="A96" s="1707" t="s">
        <v>177</v>
      </c>
      <c r="B96" s="1707" t="s">
        <v>178</v>
      </c>
      <c r="C96" s="306"/>
      <c r="D96" s="2378"/>
      <c r="E96" s="2175"/>
      <c r="F96" s="231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3" t="str">
        <f>INDEX(PT_DIFFERENTIATION_NTAR,MATCH(B96,PT_DIFFERENTIATION_NTAR_ID,0))</f>
        <v/>
      </c>
      <c r="H96" s="1788"/>
      <c r="I96" s="1666"/>
      <c r="J96" s="1700"/>
      <c r="K96" s="1705"/>
      <c r="L96" s="1788" t="s">
        <v>308</v>
      </c>
      <c r="M96" s="278"/>
      <c r="N96" s="271"/>
      <c r="O96" s="1551"/>
      <c r="P96" s="1551"/>
      <c r="AH96" s="1558">
        <v>0</v>
      </c>
    </row>
    <row r="97" spans="1:34" s="1562" customFormat="1" ht="18.75" hidden="1" customHeight="1">
      <c r="A97" s="1707"/>
      <c r="B97" s="1707"/>
      <c r="C97" s="306" t="s">
        <v>1149</v>
      </c>
      <c r="D97" s="2378"/>
      <c r="E97" s="2175"/>
      <c r="F97" s="2313"/>
      <c r="G97" s="2353"/>
      <c r="H97" s="1427"/>
      <c r="I97" s="588" t="s">
        <v>1148</v>
      </c>
      <c r="J97" s="508"/>
      <c r="K97" s="1427"/>
      <c r="L97" s="151"/>
      <c r="M97" s="278"/>
      <c r="N97" s="271"/>
      <c r="O97" s="1551"/>
      <c r="P97" s="1551"/>
      <c r="AH97" s="1558">
        <v>0</v>
      </c>
    </row>
    <row r="98" spans="1:34" s="1562" customFormat="1" ht="0.75" hidden="1" customHeight="1">
      <c r="A98" s="1707"/>
      <c r="B98" s="1707"/>
      <c r="C98" s="306" t="s">
        <v>1156</v>
      </c>
      <c r="D98" s="2378"/>
      <c r="E98" s="2175"/>
      <c r="F98" s="2313"/>
      <c r="G98" s="337"/>
      <c r="H98" s="1427"/>
      <c r="I98" s="588"/>
      <c r="J98" s="508"/>
      <c r="K98" s="1427"/>
      <c r="L98" s="151"/>
      <c r="M98" s="278"/>
      <c r="N98" s="271"/>
      <c r="O98" s="1551"/>
      <c r="P98" s="1551"/>
      <c r="AH98" s="1558">
        <v>0</v>
      </c>
    </row>
    <row r="99" spans="1:34" s="1562" customFormat="1" ht="18.75" hidden="1" customHeight="1">
      <c r="A99" s="1707" t="s">
        <v>183</v>
      </c>
      <c r="B99" s="1707" t="s">
        <v>184</v>
      </c>
      <c r="C99" s="306"/>
      <c r="D99" s="2378"/>
      <c r="E99" s="2175"/>
      <c r="F99" s="2313" t="str">
        <f>INDEX(PT_DIFFERENTIATION_VTAR,MATCH(A99,PT_DIFFERENTIATION_VTAR_ID,0))</f>
        <v>Тарифы на услуги по передаче тепловой энергии</v>
      </c>
      <c r="G99" s="2353" t="str">
        <f>INDEX(PT_DIFFERENTIATION_NTAR,MATCH(B99,PT_DIFFERENTIATION_NTAR_ID,0))</f>
        <v/>
      </c>
      <c r="H99" s="1788"/>
      <c r="I99" s="1666"/>
      <c r="J99" s="1700"/>
      <c r="K99" s="1705"/>
      <c r="L99" s="1788" t="s">
        <v>308</v>
      </c>
      <c r="M99" s="278"/>
      <c r="N99" s="271"/>
      <c r="O99" s="1551"/>
      <c r="P99" s="1551"/>
      <c r="AH99" s="1558">
        <v>0</v>
      </c>
    </row>
    <row r="100" spans="1:34" s="1562" customFormat="1" ht="18.75" hidden="1" customHeight="1">
      <c r="A100" s="1707"/>
      <c r="B100" s="1707"/>
      <c r="C100" s="306" t="s">
        <v>1149</v>
      </c>
      <c r="D100" s="2378"/>
      <c r="E100" s="2175"/>
      <c r="F100" s="2313"/>
      <c r="G100" s="2353"/>
      <c r="H100" s="1427"/>
      <c r="I100" s="588" t="s">
        <v>1148</v>
      </c>
      <c r="J100" s="508"/>
      <c r="K100" s="1427"/>
      <c r="L100" s="151"/>
      <c r="M100" s="278"/>
      <c r="N100" s="271"/>
      <c r="O100" s="1551"/>
      <c r="P100" s="1551"/>
      <c r="AH100" s="1558">
        <v>0</v>
      </c>
    </row>
    <row r="101" spans="1:34" s="1562" customFormat="1" ht="0.75" hidden="1" customHeight="1">
      <c r="A101" s="1707"/>
      <c r="B101" s="1707"/>
      <c r="C101" s="306" t="s">
        <v>1156</v>
      </c>
      <c r="D101" s="2378"/>
      <c r="E101" s="2175"/>
      <c r="F101" s="2313"/>
      <c r="G101" s="337"/>
      <c r="H101" s="1427"/>
      <c r="I101" s="588"/>
      <c r="J101" s="508"/>
      <c r="K101" s="1427"/>
      <c r="L101" s="151"/>
      <c r="M101" s="278"/>
      <c r="N101" s="271"/>
      <c r="O101" s="1551"/>
      <c r="P101" s="1551"/>
      <c r="AH101" s="1558">
        <v>0</v>
      </c>
    </row>
    <row r="102" spans="1:34" s="1562" customFormat="1" ht="18.75" hidden="1" customHeight="1">
      <c r="A102" s="1707" t="s">
        <v>189</v>
      </c>
      <c r="B102" s="1707" t="s">
        <v>190</v>
      </c>
      <c r="C102" s="306"/>
      <c r="D102" s="2378"/>
      <c r="E102" s="2175"/>
      <c r="F102" s="2313" t="str">
        <f>INDEX(PT_DIFFERENTIATION_VTAR,MATCH(A102,PT_DIFFERENTIATION_VTAR_ID,0))</f>
        <v>Тарифы на услуги по передаче теплоносителя</v>
      </c>
      <c r="G102" s="2353" t="str">
        <f>INDEX(PT_DIFFERENTIATION_NTAR,MATCH(B102,PT_DIFFERENTIATION_NTAR_ID,0))</f>
        <v/>
      </c>
      <c r="H102" s="1788"/>
      <c r="I102" s="1666"/>
      <c r="J102" s="1700"/>
      <c r="K102" s="1705"/>
      <c r="L102" s="1788" t="s">
        <v>308</v>
      </c>
      <c r="M102" s="278"/>
      <c r="N102" s="271"/>
      <c r="O102" s="1551"/>
      <c r="P102" s="1551"/>
      <c r="AH102" s="1558">
        <v>0</v>
      </c>
    </row>
    <row r="103" spans="1:34" s="1562" customFormat="1" ht="18.75" hidden="1" customHeight="1">
      <c r="A103" s="1707"/>
      <c r="B103" s="1707"/>
      <c r="C103" s="306" t="s">
        <v>1149</v>
      </c>
      <c r="D103" s="2378"/>
      <c r="E103" s="2175"/>
      <c r="F103" s="2313"/>
      <c r="G103" s="2353"/>
      <c r="H103" s="1427"/>
      <c r="I103" s="588" t="s">
        <v>1148</v>
      </c>
      <c r="J103" s="508"/>
      <c r="K103" s="1427"/>
      <c r="L103" s="151"/>
      <c r="M103" s="278"/>
      <c r="N103" s="271"/>
      <c r="O103" s="1551"/>
      <c r="P103" s="1551"/>
      <c r="AH103" s="1558">
        <v>0</v>
      </c>
    </row>
    <row r="104" spans="1:34" s="1562" customFormat="1" ht="0.75" hidden="1" customHeight="1">
      <c r="A104" s="1707"/>
      <c r="B104" s="1707"/>
      <c r="C104" s="306" t="s">
        <v>1156</v>
      </c>
      <c r="D104" s="2378"/>
      <c r="E104" s="2175"/>
      <c r="F104" s="2313"/>
      <c r="G104" s="337"/>
      <c r="H104" s="1427"/>
      <c r="I104" s="588"/>
      <c r="J104" s="508"/>
      <c r="K104" s="1427"/>
      <c r="L104" s="151"/>
      <c r="M104" s="278"/>
      <c r="N104" s="271"/>
      <c r="O104" s="1551"/>
      <c r="P104" s="1551"/>
      <c r="AH104" s="1558">
        <v>0</v>
      </c>
    </row>
    <row r="105" spans="1:34" s="1562" customFormat="1" ht="18.75" hidden="1" customHeight="1">
      <c r="A105" s="1707" t="s">
        <v>195</v>
      </c>
      <c r="B105" s="1707" t="s">
        <v>196</v>
      </c>
      <c r="C105" s="306"/>
      <c r="D105" s="2378"/>
      <c r="E105" s="2175"/>
      <c r="F105" s="231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3" t="str">
        <f>INDEX(PT_DIFFERENTIATION_NTAR,MATCH(B105,PT_DIFFERENTIATION_NTAR_ID,0))</f>
        <v/>
      </c>
      <c r="H105" s="1788"/>
      <c r="I105" s="1666"/>
      <c r="J105" s="1700"/>
      <c r="K105" s="1705"/>
      <c r="L105" s="1788" t="s">
        <v>308</v>
      </c>
      <c r="M105" s="278"/>
      <c r="N105" s="271"/>
      <c r="O105" s="1551"/>
      <c r="P105" s="1551"/>
      <c r="AH105" s="1558">
        <v>0</v>
      </c>
    </row>
    <row r="106" spans="1:34" s="1562" customFormat="1" ht="18.75" hidden="1" customHeight="1">
      <c r="A106" s="1707"/>
      <c r="B106" s="1707"/>
      <c r="C106" s="306" t="s">
        <v>1149</v>
      </c>
      <c r="D106" s="2378"/>
      <c r="E106" s="2175"/>
      <c r="F106" s="2313"/>
      <c r="G106" s="2353"/>
      <c r="H106" s="1427"/>
      <c r="I106" s="588" t="s">
        <v>1148</v>
      </c>
      <c r="J106" s="508"/>
      <c r="K106" s="1427"/>
      <c r="L106" s="151"/>
      <c r="M106" s="278"/>
      <c r="N106" s="271"/>
      <c r="O106" s="1551"/>
      <c r="P106" s="1551"/>
      <c r="AH106" s="1558">
        <v>0</v>
      </c>
    </row>
    <row r="107" spans="1:34" s="1562" customFormat="1" ht="0.75" hidden="1" customHeight="1">
      <c r="A107" s="1707"/>
      <c r="B107" s="1707"/>
      <c r="C107" s="306" t="s">
        <v>1156</v>
      </c>
      <c r="D107" s="2378"/>
      <c r="E107" s="2175"/>
      <c r="F107" s="2313"/>
      <c r="G107" s="337"/>
      <c r="H107" s="1427"/>
      <c r="I107" s="588"/>
      <c r="J107" s="508"/>
      <c r="K107" s="1427"/>
      <c r="L107" s="151"/>
      <c r="M107" s="278"/>
      <c r="N107" s="271"/>
      <c r="O107" s="1551"/>
      <c r="P107" s="1551"/>
      <c r="AH107" s="1558">
        <v>0</v>
      </c>
    </row>
    <row r="108" spans="1:34" s="1562" customFormat="1" ht="18.75" hidden="1" customHeight="1">
      <c r="A108" s="1707" t="s">
        <v>201</v>
      </c>
      <c r="B108" s="1707" t="s">
        <v>202</v>
      </c>
      <c r="C108" s="306"/>
      <c r="D108" s="2378"/>
      <c r="E108" s="2175"/>
      <c r="F108" s="2313" t="str">
        <f>INDEX(PT_DIFFERENTIATION_VTAR,MATCH(A108,PT_DIFFERENTIATION_VTAR_ID,0))</f>
        <v>Плата за подключение (технологическое присоединение) к системе теплоснабжения</v>
      </c>
      <c r="G108" s="2353" t="str">
        <f>INDEX(PT_DIFFERENTIATION_NTAR,MATCH(B108,PT_DIFFERENTIATION_NTAR_ID,0))</f>
        <v/>
      </c>
      <c r="H108" s="1788"/>
      <c r="I108" s="1666"/>
      <c r="J108" s="1700"/>
      <c r="K108" s="1705"/>
      <c r="L108" s="1788" t="s">
        <v>308</v>
      </c>
      <c r="M108" s="278"/>
      <c r="N108" s="271"/>
      <c r="O108" s="1551"/>
      <c r="P108" s="1551"/>
      <c r="AH108" s="1558">
        <v>0</v>
      </c>
    </row>
    <row r="109" spans="1:34" s="1562" customFormat="1" ht="18.75" hidden="1" customHeight="1">
      <c r="A109" s="1707"/>
      <c r="B109" s="1707"/>
      <c r="C109" s="306" t="s">
        <v>1149</v>
      </c>
      <c r="D109" s="2378"/>
      <c r="E109" s="2175"/>
      <c r="F109" s="2313"/>
      <c r="G109" s="2353"/>
      <c r="H109" s="1427"/>
      <c r="I109" s="588" t="s">
        <v>1148</v>
      </c>
      <c r="J109" s="508"/>
      <c r="K109" s="1427"/>
      <c r="L109" s="151"/>
      <c r="M109" s="278"/>
      <c r="N109" s="271"/>
      <c r="O109" s="1551"/>
      <c r="P109" s="1551"/>
      <c r="AH109" s="1558">
        <v>0</v>
      </c>
    </row>
    <row r="110" spans="1:34" s="1562" customFormat="1" ht="0.75" hidden="1" customHeight="1">
      <c r="A110" s="1707"/>
      <c r="B110" s="1707"/>
      <c r="C110" s="306" t="s">
        <v>1156</v>
      </c>
      <c r="D110" s="2378"/>
      <c r="E110" s="2175"/>
      <c r="F110" s="2313"/>
      <c r="G110" s="337"/>
      <c r="H110" s="1427"/>
      <c r="I110" s="588"/>
      <c r="J110" s="508"/>
      <c r="K110" s="1427"/>
      <c r="L110" s="151"/>
      <c r="M110" s="278"/>
      <c r="N110" s="271"/>
      <c r="O110" s="1551"/>
      <c r="P110" s="1551"/>
      <c r="AH110" s="1558">
        <v>0</v>
      </c>
    </row>
    <row r="111" spans="1:34" s="1562" customFormat="1" ht="18.75" hidden="1" customHeight="1">
      <c r="A111" s="1707" t="s">
        <v>207</v>
      </c>
      <c r="B111" s="1707" t="s">
        <v>208</v>
      </c>
      <c r="C111" s="306"/>
      <c r="D111" s="2378"/>
      <c r="E111" s="2175"/>
      <c r="F111" s="2313" t="str">
        <f>INDEX(PT_DIFFERENTIATION_VTAR,MATCH(A111,PT_DIFFERENTIATION_VTAR_ID,0))</f>
        <v>Плата за подключение (технологическое присоединение) к системе теплоснабжения (индивидуальная)</v>
      </c>
      <c r="G111" s="2353" t="str">
        <f>INDEX(PT_DIFFERENTIATION_NTAR,MATCH(B111,PT_DIFFERENTIATION_NTAR_ID,0))</f>
        <v/>
      </c>
      <c r="H111" s="1912"/>
      <c r="I111" s="1666"/>
      <c r="J111" s="1700"/>
      <c r="K111" s="1705"/>
      <c r="L111" s="1912" t="s">
        <v>308</v>
      </c>
      <c r="M111" s="278"/>
      <c r="N111" s="271"/>
      <c r="O111" s="1551"/>
      <c r="P111" s="1551"/>
      <c r="AH111" s="1558">
        <v>0</v>
      </c>
    </row>
    <row r="112" spans="1:34" s="1562" customFormat="1" ht="18.75" hidden="1" customHeight="1">
      <c r="A112" s="1707"/>
      <c r="B112" s="1707"/>
      <c r="C112" s="306" t="s">
        <v>1149</v>
      </c>
      <c r="D112" s="2378"/>
      <c r="E112" s="2175"/>
      <c r="F112" s="2313"/>
      <c r="G112" s="2353"/>
      <c r="H112" s="1427"/>
      <c r="I112" s="588" t="s">
        <v>1148</v>
      </c>
      <c r="J112" s="508"/>
      <c r="K112" s="1427"/>
      <c r="L112" s="151"/>
      <c r="M112" s="278"/>
      <c r="N112" s="271"/>
      <c r="O112" s="1551"/>
      <c r="P112" s="1551"/>
      <c r="AH112" s="1558">
        <v>0</v>
      </c>
    </row>
    <row r="113" spans="1:34" s="1562" customFormat="1" ht="0.75" hidden="1" customHeight="1">
      <c r="A113" s="1707"/>
      <c r="B113" s="1707"/>
      <c r="C113" s="306" t="s">
        <v>1156</v>
      </c>
      <c r="D113" s="2378"/>
      <c r="E113" s="2175"/>
      <c r="F113" s="2313"/>
      <c r="G113" s="337"/>
      <c r="H113" s="1427"/>
      <c r="I113" s="588"/>
      <c r="J113" s="508"/>
      <c r="K113" s="1427"/>
      <c r="L113" s="151"/>
      <c r="M113" s="278"/>
      <c r="N113" s="271"/>
      <c r="O113" s="1551"/>
      <c r="P113" s="1551"/>
      <c r="AH113" s="1558">
        <v>0</v>
      </c>
    </row>
    <row r="114" spans="1:34" s="1562" customFormat="1" ht="18.75" hidden="1" customHeight="1">
      <c r="A114" s="1707" t="s">
        <v>227</v>
      </c>
      <c r="B114" s="1707" t="s">
        <v>228</v>
      </c>
      <c r="C114" s="306"/>
      <c r="D114" s="2378"/>
      <c r="E114" s="2175"/>
      <c r="F114" s="2313" t="str">
        <f>INDEX(PT_DIFFERENTIATION_VTAR,MATCH(A114,PT_DIFFERENTIATION_VTAR_ID,0))</f>
        <v>Тариф на питьевую воду (питьевое водоснабжение)</v>
      </c>
      <c r="G114" s="2353" t="str">
        <f>INDEX(PT_DIFFERENTIATION_NTAR,MATCH(B114,PT_DIFFERENTIATION_NTAR_ID,0))</f>
        <v/>
      </c>
      <c r="H114" s="1788"/>
      <c r="I114" s="1666"/>
      <c r="J114" s="1700"/>
      <c r="K114" s="1705"/>
      <c r="L114" s="1788" t="s">
        <v>308</v>
      </c>
      <c r="M114" s="278"/>
      <c r="N114" s="271"/>
      <c r="O114" s="1551"/>
      <c r="P114" s="1551"/>
      <c r="AH114" s="1558">
        <v>0</v>
      </c>
    </row>
    <row r="115" spans="1:34" s="1562" customFormat="1" ht="18.75" hidden="1" customHeight="1">
      <c r="A115" s="1707"/>
      <c r="B115" s="1707"/>
      <c r="C115" s="306" t="s">
        <v>1149</v>
      </c>
      <c r="D115" s="2378"/>
      <c r="E115" s="2175"/>
      <c r="F115" s="2313"/>
      <c r="G115" s="2353"/>
      <c r="H115" s="1427"/>
      <c r="I115" s="588" t="s">
        <v>1148</v>
      </c>
      <c r="J115" s="508"/>
      <c r="K115" s="1427"/>
      <c r="L115" s="151"/>
      <c r="M115" s="278"/>
      <c r="N115" s="271"/>
      <c r="O115" s="1551"/>
      <c r="P115" s="1551"/>
      <c r="AH115" s="1558">
        <v>0</v>
      </c>
    </row>
    <row r="116" spans="1:34" s="1562" customFormat="1" ht="0.75" hidden="1" customHeight="1">
      <c r="A116" s="1707"/>
      <c r="B116" s="1707"/>
      <c r="C116" s="306" t="s">
        <v>1156</v>
      </c>
      <c r="D116" s="2378"/>
      <c r="E116" s="2175"/>
      <c r="F116" s="2313"/>
      <c r="G116" s="337"/>
      <c r="H116" s="1427"/>
      <c r="I116" s="588"/>
      <c r="J116" s="508"/>
      <c r="K116" s="1427"/>
      <c r="L116" s="151"/>
      <c r="M116" s="278"/>
      <c r="N116" s="271"/>
      <c r="O116" s="1551"/>
      <c r="P116" s="1551"/>
      <c r="AH116" s="1558">
        <v>0</v>
      </c>
    </row>
    <row r="117" spans="1:34" s="1562" customFormat="1" ht="18.75" hidden="1" customHeight="1">
      <c r="A117" s="1707" t="s">
        <v>232</v>
      </c>
      <c r="B117" s="1707" t="s">
        <v>233</v>
      </c>
      <c r="C117" s="306"/>
      <c r="D117" s="2378"/>
      <c r="E117" s="2175"/>
      <c r="F117" s="2313" t="str">
        <f>INDEX(PT_DIFFERENTIATION_VTAR,MATCH(A117,PT_DIFFERENTIATION_VTAR_ID,0))</f>
        <v>Тариф на техническую воду</v>
      </c>
      <c r="G117" s="2353" t="str">
        <f>INDEX(PT_DIFFERENTIATION_NTAR,MATCH(B117,PT_DIFFERENTIATION_NTAR_ID,0))</f>
        <v/>
      </c>
      <c r="H117" s="1788"/>
      <c r="I117" s="1666"/>
      <c r="J117" s="1700"/>
      <c r="K117" s="1705"/>
      <c r="L117" s="1788" t="s">
        <v>308</v>
      </c>
      <c r="M117" s="278"/>
      <c r="N117" s="271"/>
      <c r="O117" s="1551"/>
      <c r="P117" s="1551"/>
      <c r="AH117" s="1558">
        <v>0</v>
      </c>
    </row>
    <row r="118" spans="1:34" s="1562" customFormat="1" ht="18.75" hidden="1" customHeight="1">
      <c r="A118" s="1707"/>
      <c r="B118" s="1707"/>
      <c r="C118" s="306" t="s">
        <v>1149</v>
      </c>
      <c r="D118" s="2378"/>
      <c r="E118" s="2175"/>
      <c r="F118" s="2313"/>
      <c r="G118" s="2353"/>
      <c r="H118" s="1427"/>
      <c r="I118" s="588" t="s">
        <v>1148</v>
      </c>
      <c r="J118" s="508"/>
      <c r="K118" s="1427"/>
      <c r="L118" s="151"/>
      <c r="M118" s="278"/>
      <c r="N118" s="271"/>
      <c r="O118" s="1551"/>
      <c r="P118" s="1551"/>
      <c r="AH118" s="1558">
        <v>0</v>
      </c>
    </row>
    <row r="119" spans="1:34" s="1562" customFormat="1" ht="0.75" hidden="1" customHeight="1">
      <c r="A119" s="1707"/>
      <c r="B119" s="1707"/>
      <c r="C119" s="306" t="s">
        <v>1156</v>
      </c>
      <c r="D119" s="2378"/>
      <c r="E119" s="2175"/>
      <c r="F119" s="2313"/>
      <c r="G119" s="337"/>
      <c r="H119" s="1427"/>
      <c r="I119" s="588"/>
      <c r="J119" s="508"/>
      <c r="K119" s="1427"/>
      <c r="L119" s="151"/>
      <c r="M119" s="278"/>
      <c r="N119" s="271"/>
      <c r="O119" s="1551"/>
      <c r="P119" s="1551"/>
      <c r="AH119" s="1558">
        <v>0</v>
      </c>
    </row>
    <row r="120" spans="1:34" s="1562" customFormat="1" ht="18.75" hidden="1" customHeight="1">
      <c r="A120" s="1707" t="s">
        <v>237</v>
      </c>
      <c r="B120" s="1707" t="s">
        <v>238</v>
      </c>
      <c r="C120" s="306"/>
      <c r="D120" s="2378"/>
      <c r="E120" s="2175"/>
      <c r="F120" s="2313" t="str">
        <f>INDEX(PT_DIFFERENTIATION_VTAR,MATCH(A120,PT_DIFFERENTIATION_VTAR_ID,0))</f>
        <v>Тариф на транспортировку воды</v>
      </c>
      <c r="G120" s="2353" t="str">
        <f>INDEX(PT_DIFFERENTIATION_NTAR,MATCH(B120,PT_DIFFERENTIATION_NTAR_ID,0))</f>
        <v/>
      </c>
      <c r="H120" s="1788"/>
      <c r="I120" s="1666"/>
      <c r="J120" s="1700"/>
      <c r="K120" s="1705"/>
      <c r="L120" s="1788" t="s">
        <v>308</v>
      </c>
      <c r="M120" s="278"/>
      <c r="N120" s="271"/>
      <c r="O120" s="1551"/>
      <c r="P120" s="1551"/>
      <c r="AH120" s="1558">
        <v>0</v>
      </c>
    </row>
    <row r="121" spans="1:34" s="1562" customFormat="1" ht="18.75" hidden="1" customHeight="1">
      <c r="A121" s="1707"/>
      <c r="B121" s="1707"/>
      <c r="C121" s="306" t="s">
        <v>1149</v>
      </c>
      <c r="D121" s="2378"/>
      <c r="E121" s="2175"/>
      <c r="F121" s="2313"/>
      <c r="G121" s="2353"/>
      <c r="H121" s="1427"/>
      <c r="I121" s="588" t="s">
        <v>1148</v>
      </c>
      <c r="J121" s="508"/>
      <c r="K121" s="1427"/>
      <c r="L121" s="151"/>
      <c r="M121" s="278"/>
      <c r="N121" s="271"/>
      <c r="O121" s="1551"/>
      <c r="P121" s="1551"/>
      <c r="AH121" s="1558">
        <v>0</v>
      </c>
    </row>
    <row r="122" spans="1:34" s="1562" customFormat="1" ht="0.75" hidden="1" customHeight="1">
      <c r="A122" s="1707"/>
      <c r="B122" s="1707"/>
      <c r="C122" s="306" t="s">
        <v>1156</v>
      </c>
      <c r="D122" s="2378"/>
      <c r="E122" s="2175"/>
      <c r="F122" s="2313"/>
      <c r="G122" s="337"/>
      <c r="H122" s="1427"/>
      <c r="I122" s="588"/>
      <c r="J122" s="508"/>
      <c r="K122" s="1427"/>
      <c r="L122" s="151"/>
      <c r="M122" s="278"/>
      <c r="N122" s="271"/>
      <c r="O122" s="1551"/>
      <c r="P122" s="1551"/>
      <c r="AH122" s="1558">
        <v>0</v>
      </c>
    </row>
    <row r="123" spans="1:34" s="1562" customFormat="1" ht="18.75" hidden="1" customHeight="1">
      <c r="A123" s="1707" t="s">
        <v>242</v>
      </c>
      <c r="B123" s="1707" t="s">
        <v>243</v>
      </c>
      <c r="C123" s="306"/>
      <c r="D123" s="2378"/>
      <c r="E123" s="2175"/>
      <c r="F123" s="2313" t="str">
        <f>INDEX(PT_DIFFERENTIATION_VTAR,MATCH(A123,PT_DIFFERENTIATION_VTAR_ID,0))</f>
        <v>Тариф на подвоз воды</v>
      </c>
      <c r="G123" s="2353" t="str">
        <f>INDEX(PT_DIFFERENTIATION_NTAR,MATCH(B123,PT_DIFFERENTIATION_NTAR_ID,0))</f>
        <v/>
      </c>
      <c r="H123" s="1788"/>
      <c r="I123" s="1666"/>
      <c r="J123" s="1700"/>
      <c r="K123" s="1705"/>
      <c r="L123" s="1788" t="s">
        <v>308</v>
      </c>
      <c r="M123" s="278"/>
      <c r="N123" s="271"/>
      <c r="O123" s="1551"/>
      <c r="P123" s="1551"/>
      <c r="AH123" s="1558">
        <v>0</v>
      </c>
    </row>
    <row r="124" spans="1:34" s="1562" customFormat="1" ht="18.75" hidden="1" customHeight="1">
      <c r="A124" s="1707"/>
      <c r="B124" s="1707"/>
      <c r="C124" s="306" t="s">
        <v>1149</v>
      </c>
      <c r="D124" s="2378"/>
      <c r="E124" s="2175"/>
      <c r="F124" s="2313"/>
      <c r="G124" s="2353"/>
      <c r="H124" s="1427"/>
      <c r="I124" s="588" t="s">
        <v>1148</v>
      </c>
      <c r="J124" s="508"/>
      <c r="K124" s="1427"/>
      <c r="L124" s="151"/>
      <c r="M124" s="278"/>
      <c r="N124" s="271"/>
      <c r="O124" s="1551"/>
      <c r="P124" s="1551"/>
      <c r="AH124" s="1558">
        <v>0</v>
      </c>
    </row>
    <row r="125" spans="1:34" s="1562" customFormat="1" ht="0.75" hidden="1" customHeight="1">
      <c r="A125" s="1707"/>
      <c r="B125" s="1707"/>
      <c r="C125" s="306" t="s">
        <v>1156</v>
      </c>
      <c r="D125" s="2378"/>
      <c r="E125" s="2175"/>
      <c r="F125" s="2313"/>
      <c r="G125" s="337"/>
      <c r="H125" s="1427"/>
      <c r="I125" s="588"/>
      <c r="J125" s="508"/>
      <c r="K125" s="1427"/>
      <c r="L125" s="151"/>
      <c r="M125" s="278"/>
      <c r="N125" s="271"/>
      <c r="O125" s="1551"/>
      <c r="P125" s="1551"/>
      <c r="AH125" s="1558">
        <v>0</v>
      </c>
    </row>
    <row r="126" spans="1:34" s="1562" customFormat="1" ht="18.75" hidden="1" customHeight="1">
      <c r="A126" s="1707" t="s">
        <v>247</v>
      </c>
      <c r="B126" s="1707" t="s">
        <v>248</v>
      </c>
      <c r="C126" s="306"/>
      <c r="D126" s="2378"/>
      <c r="E126" s="2175"/>
      <c r="F126" s="231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3" t="str">
        <f>INDEX(PT_DIFFERENTIATION_NTAR,MATCH(B126,PT_DIFFERENTIATION_NTAR_ID,0))</f>
        <v/>
      </c>
      <c r="H126" s="1788"/>
      <c r="I126" s="1666"/>
      <c r="J126" s="1700"/>
      <c r="K126" s="1705"/>
      <c r="L126" s="1788" t="s">
        <v>308</v>
      </c>
      <c r="M126" s="278"/>
      <c r="N126" s="271"/>
      <c r="O126" s="1551"/>
      <c r="P126" s="1551"/>
      <c r="AH126" s="1558">
        <v>0</v>
      </c>
    </row>
    <row r="127" spans="1:34" s="1562" customFormat="1" ht="18.75" hidden="1" customHeight="1">
      <c r="A127" s="1707"/>
      <c r="B127" s="1707"/>
      <c r="C127" s="306" t="s">
        <v>1149</v>
      </c>
      <c r="D127" s="2378"/>
      <c r="E127" s="2175"/>
      <c r="F127" s="2313"/>
      <c r="G127" s="2353"/>
      <c r="H127" s="1427"/>
      <c r="I127" s="588" t="s">
        <v>1148</v>
      </c>
      <c r="J127" s="508"/>
      <c r="K127" s="1427"/>
      <c r="L127" s="151"/>
      <c r="M127" s="278"/>
      <c r="N127" s="271"/>
      <c r="O127" s="1551"/>
      <c r="P127" s="1551"/>
      <c r="AH127" s="1558">
        <v>0</v>
      </c>
    </row>
    <row r="128" spans="1:34" s="1562" customFormat="1" ht="0.75" hidden="1" customHeight="1">
      <c r="A128" s="1707"/>
      <c r="B128" s="1707"/>
      <c r="C128" s="306" t="s">
        <v>1156</v>
      </c>
      <c r="D128" s="2378"/>
      <c r="E128" s="2175"/>
      <c r="F128" s="2313"/>
      <c r="G128" s="337"/>
      <c r="H128" s="1427"/>
      <c r="I128" s="588"/>
      <c r="J128" s="508"/>
      <c r="K128" s="1427"/>
      <c r="L128" s="151"/>
      <c r="M128" s="278"/>
      <c r="N128" s="271"/>
      <c r="O128" s="1551"/>
      <c r="P128" s="1551"/>
      <c r="AH128" s="1558">
        <v>0</v>
      </c>
    </row>
    <row r="129" spans="1:34" s="1562" customFormat="1" ht="18.75" hidden="1" customHeight="1">
      <c r="A129" s="1707" t="s">
        <v>252</v>
      </c>
      <c r="B129" s="1707" t="s">
        <v>253</v>
      </c>
      <c r="C129" s="306"/>
      <c r="D129" s="2378"/>
      <c r="E129" s="2175"/>
      <c r="F129" s="2313" t="str">
        <f>INDEX(PT_DIFFERENTIATION_VTAR,MATCH(A129,PT_DIFFERENTIATION_VTAR_ID,0))</f>
        <v>Тариф на горячую воду (горячее водоснабжение)</v>
      </c>
      <c r="G129" s="2353" t="str">
        <f>INDEX(PT_DIFFERENTIATION_NTAR,MATCH(B129,PT_DIFFERENTIATION_NTAR_ID,0))</f>
        <v/>
      </c>
      <c r="H129" s="1788"/>
      <c r="I129" s="1666"/>
      <c r="J129" s="1700"/>
      <c r="K129" s="1705"/>
      <c r="L129" s="1788" t="s">
        <v>308</v>
      </c>
      <c r="M129" s="278"/>
      <c r="N129" s="271"/>
      <c r="O129" s="1551"/>
      <c r="P129" s="1551"/>
      <c r="AH129" s="1558">
        <v>0</v>
      </c>
    </row>
    <row r="130" spans="1:34" s="1562" customFormat="1" ht="18.75" hidden="1" customHeight="1">
      <c r="A130" s="1707"/>
      <c r="B130" s="1707"/>
      <c r="C130" s="306" t="s">
        <v>1149</v>
      </c>
      <c r="D130" s="2378"/>
      <c r="E130" s="2175"/>
      <c r="F130" s="2313"/>
      <c r="G130" s="2353"/>
      <c r="H130" s="1427"/>
      <c r="I130" s="588" t="s">
        <v>1148</v>
      </c>
      <c r="J130" s="508"/>
      <c r="K130" s="1427"/>
      <c r="L130" s="151"/>
      <c r="M130" s="278"/>
      <c r="N130" s="271"/>
      <c r="O130" s="1551"/>
      <c r="P130" s="1551"/>
      <c r="AH130" s="1558">
        <v>0</v>
      </c>
    </row>
    <row r="131" spans="1:34" s="1562" customFormat="1" ht="0.75" hidden="1" customHeight="1">
      <c r="A131" s="1707"/>
      <c r="B131" s="1707"/>
      <c r="C131" s="306" t="s">
        <v>1156</v>
      </c>
      <c r="D131" s="2378"/>
      <c r="E131" s="2175"/>
      <c r="F131" s="2313"/>
      <c r="G131" s="337"/>
      <c r="H131" s="1427"/>
      <c r="I131" s="588"/>
      <c r="J131" s="508"/>
      <c r="K131" s="1427"/>
      <c r="L131" s="151"/>
      <c r="M131" s="278"/>
      <c r="N131" s="271"/>
      <c r="O131" s="1551"/>
      <c r="P131" s="1551"/>
      <c r="AH131" s="1558">
        <v>0</v>
      </c>
    </row>
    <row r="132" spans="1:34" s="1562" customFormat="1" ht="18.75" hidden="1" customHeight="1">
      <c r="A132" s="1707" t="s">
        <v>257</v>
      </c>
      <c r="B132" s="1707" t="s">
        <v>258</v>
      </c>
      <c r="C132" s="306"/>
      <c r="D132" s="2378"/>
      <c r="E132" s="2175"/>
      <c r="F132" s="2313" t="str">
        <f>INDEX(PT_DIFFERENTIATION_VTAR,MATCH(A132,PT_DIFFERENTIATION_VTAR_ID,0))</f>
        <v>Тариф на транспортировку горячей воды</v>
      </c>
      <c r="G132" s="2353" t="str">
        <f>INDEX(PT_DIFFERENTIATION_NTAR,MATCH(B132,PT_DIFFERENTIATION_NTAR_ID,0))</f>
        <v/>
      </c>
      <c r="H132" s="1788"/>
      <c r="I132" s="1666"/>
      <c r="J132" s="1700"/>
      <c r="K132" s="1705"/>
      <c r="L132" s="1788" t="s">
        <v>308</v>
      </c>
      <c r="M132" s="278"/>
      <c r="N132" s="271"/>
      <c r="O132" s="1551"/>
      <c r="P132" s="1551"/>
      <c r="AH132" s="1558">
        <v>0</v>
      </c>
    </row>
    <row r="133" spans="1:34" s="1562" customFormat="1" ht="18.75" hidden="1" customHeight="1">
      <c r="A133" s="1707"/>
      <c r="B133" s="1707"/>
      <c r="C133" s="306" t="s">
        <v>1149</v>
      </c>
      <c r="D133" s="2378"/>
      <c r="E133" s="2175"/>
      <c r="F133" s="2313"/>
      <c r="G133" s="2353"/>
      <c r="H133" s="1427"/>
      <c r="I133" s="588" t="s">
        <v>1148</v>
      </c>
      <c r="J133" s="508"/>
      <c r="K133" s="1427"/>
      <c r="L133" s="151"/>
      <c r="M133" s="278"/>
      <c r="N133" s="271"/>
      <c r="O133" s="1551"/>
      <c r="P133" s="1551"/>
      <c r="AH133" s="1558">
        <v>0</v>
      </c>
    </row>
    <row r="134" spans="1:34" s="1562" customFormat="1" ht="0.75" hidden="1" customHeight="1">
      <c r="A134" s="1707"/>
      <c r="B134" s="1707"/>
      <c r="C134" s="306" t="s">
        <v>1156</v>
      </c>
      <c r="D134" s="2378"/>
      <c r="E134" s="2175"/>
      <c r="F134" s="2313"/>
      <c r="G134" s="337"/>
      <c r="H134" s="1427"/>
      <c r="I134" s="588"/>
      <c r="J134" s="508"/>
      <c r="K134" s="1427"/>
      <c r="L134" s="151"/>
      <c r="M134" s="278"/>
      <c r="N134" s="271"/>
      <c r="O134" s="1551"/>
      <c r="P134" s="1551"/>
      <c r="AH134" s="1558">
        <v>0</v>
      </c>
    </row>
    <row r="135" spans="1:34" s="1562" customFormat="1" ht="18.75" hidden="1" customHeight="1">
      <c r="A135" s="1707" t="s">
        <v>262</v>
      </c>
      <c r="B135" s="1707" t="s">
        <v>263</v>
      </c>
      <c r="C135" s="306"/>
      <c r="D135" s="2378"/>
      <c r="E135" s="2175"/>
      <c r="F135" s="231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3" t="str">
        <f>INDEX(PT_DIFFERENTIATION_NTAR,MATCH(B135,PT_DIFFERENTIATION_NTAR_ID,0))</f>
        <v/>
      </c>
      <c r="H135" s="1788"/>
      <c r="I135" s="1666"/>
      <c r="J135" s="1700"/>
      <c r="K135" s="1705"/>
      <c r="L135" s="1788" t="s">
        <v>308</v>
      </c>
      <c r="M135" s="278"/>
      <c r="N135" s="271"/>
      <c r="O135" s="1551"/>
      <c r="P135" s="1551"/>
      <c r="AH135" s="1558">
        <v>0</v>
      </c>
    </row>
    <row r="136" spans="1:34" s="1562" customFormat="1" ht="18.75" hidden="1" customHeight="1">
      <c r="A136" s="1707"/>
      <c r="B136" s="1707"/>
      <c r="C136" s="306" t="s">
        <v>1149</v>
      </c>
      <c r="D136" s="2378"/>
      <c r="E136" s="2175"/>
      <c r="F136" s="2313"/>
      <c r="G136" s="2353"/>
      <c r="H136" s="1427"/>
      <c r="I136" s="588" t="s">
        <v>1148</v>
      </c>
      <c r="J136" s="508"/>
      <c r="K136" s="1427"/>
      <c r="L136" s="151"/>
      <c r="M136" s="278"/>
      <c r="N136" s="271"/>
      <c r="O136" s="1551"/>
      <c r="P136" s="1551"/>
      <c r="AH136" s="1558">
        <v>0</v>
      </c>
    </row>
    <row r="137" spans="1:34" s="1562" customFormat="1" ht="0.75" hidden="1" customHeight="1">
      <c r="A137" s="1707"/>
      <c r="B137" s="1707"/>
      <c r="C137" s="306" t="s">
        <v>1156</v>
      </c>
      <c r="D137" s="2378"/>
      <c r="E137" s="2175"/>
      <c r="F137" s="2313"/>
      <c r="G137" s="337"/>
      <c r="H137" s="1427"/>
      <c r="I137" s="588"/>
      <c r="J137" s="508"/>
      <c r="K137" s="1427"/>
      <c r="L137" s="151"/>
      <c r="M137" s="278"/>
      <c r="N137" s="271"/>
      <c r="O137" s="1551"/>
      <c r="P137" s="1551"/>
      <c r="AH137" s="1558">
        <v>0</v>
      </c>
    </row>
    <row r="138" spans="1:34" s="1562" customFormat="1" ht="18.75" hidden="1" customHeight="1">
      <c r="A138" s="1707" t="s">
        <v>267</v>
      </c>
      <c r="B138" s="1707" t="s">
        <v>268</v>
      </c>
      <c r="C138" s="306"/>
      <c r="D138" s="2378"/>
      <c r="E138" s="2175"/>
      <c r="F138" s="2313" t="str">
        <f>INDEX(PT_DIFFERENTIATION_VTAR,MATCH(A138,PT_DIFFERENTIATION_VTAR_ID,0))</f>
        <v>Тариф на водоотведение</v>
      </c>
      <c r="G138" s="2353" t="str">
        <f>INDEX(PT_DIFFERENTIATION_NTAR,MATCH(B138,PT_DIFFERENTIATION_NTAR_ID,0))</f>
        <v/>
      </c>
      <c r="H138" s="1788"/>
      <c r="I138" s="1666"/>
      <c r="J138" s="1700"/>
      <c r="K138" s="1705"/>
      <c r="L138" s="1788" t="s">
        <v>308</v>
      </c>
      <c r="M138" s="278"/>
      <c r="N138" s="271"/>
      <c r="O138" s="1551"/>
      <c r="P138" s="1551"/>
      <c r="AH138" s="1558">
        <v>0</v>
      </c>
    </row>
    <row r="139" spans="1:34" s="1562" customFormat="1" ht="18.75" hidden="1" customHeight="1">
      <c r="A139" s="1707"/>
      <c r="B139" s="1707"/>
      <c r="C139" s="306" t="s">
        <v>1149</v>
      </c>
      <c r="D139" s="2378"/>
      <c r="E139" s="2175"/>
      <c r="F139" s="2313"/>
      <c r="G139" s="2353"/>
      <c r="H139" s="1427"/>
      <c r="I139" s="588" t="s">
        <v>1148</v>
      </c>
      <c r="J139" s="508"/>
      <c r="K139" s="1427"/>
      <c r="L139" s="151"/>
      <c r="M139" s="278"/>
      <c r="N139" s="271"/>
      <c r="O139" s="1551"/>
      <c r="P139" s="1551"/>
      <c r="AH139" s="1558">
        <v>0</v>
      </c>
    </row>
    <row r="140" spans="1:34" s="1562" customFormat="1" ht="0.75" hidden="1" customHeight="1">
      <c r="A140" s="1707"/>
      <c r="B140" s="1707"/>
      <c r="C140" s="306" t="s">
        <v>1156</v>
      </c>
      <c r="D140" s="2378"/>
      <c r="E140" s="2175"/>
      <c r="F140" s="2313"/>
      <c r="G140" s="337"/>
      <c r="H140" s="1427"/>
      <c r="I140" s="588"/>
      <c r="J140" s="508"/>
      <c r="K140" s="1427"/>
      <c r="L140" s="151"/>
      <c r="M140" s="278"/>
      <c r="N140" s="271"/>
      <c r="O140" s="1551"/>
      <c r="P140" s="1551"/>
      <c r="AH140" s="1558">
        <v>0</v>
      </c>
    </row>
    <row r="141" spans="1:34" s="1562" customFormat="1" ht="18.75" hidden="1" customHeight="1">
      <c r="A141" s="1707" t="s">
        <v>272</v>
      </c>
      <c r="B141" s="1707" t="s">
        <v>273</v>
      </c>
      <c r="C141" s="306"/>
      <c r="D141" s="2378"/>
      <c r="E141" s="2175"/>
      <c r="F141" s="2313" t="str">
        <f>INDEX(PT_DIFFERENTIATION_VTAR,MATCH(A141,PT_DIFFERENTIATION_VTAR_ID,0))</f>
        <v>Тариф на транспортировку сточных вод</v>
      </c>
      <c r="G141" s="2353" t="str">
        <f>INDEX(PT_DIFFERENTIATION_NTAR,MATCH(B141,PT_DIFFERENTIATION_NTAR_ID,0))</f>
        <v/>
      </c>
      <c r="H141" s="1788"/>
      <c r="I141" s="1666"/>
      <c r="J141" s="1700"/>
      <c r="K141" s="1705"/>
      <c r="L141" s="1788" t="s">
        <v>308</v>
      </c>
      <c r="M141" s="278"/>
      <c r="N141" s="271"/>
      <c r="O141" s="1551"/>
      <c r="P141" s="1551"/>
      <c r="AH141" s="1558">
        <v>0</v>
      </c>
    </row>
    <row r="142" spans="1:34" s="1562" customFormat="1" ht="18.75" hidden="1" customHeight="1">
      <c r="A142" s="1707"/>
      <c r="B142" s="1707"/>
      <c r="C142" s="306" t="s">
        <v>1149</v>
      </c>
      <c r="D142" s="2378"/>
      <c r="E142" s="2175"/>
      <c r="F142" s="2313"/>
      <c r="G142" s="2353"/>
      <c r="H142" s="1427"/>
      <c r="I142" s="588" t="s">
        <v>1148</v>
      </c>
      <c r="J142" s="508"/>
      <c r="K142" s="1427"/>
      <c r="L142" s="151"/>
      <c r="M142" s="278"/>
      <c r="N142" s="271"/>
      <c r="O142" s="1551"/>
      <c r="P142" s="1551"/>
      <c r="AH142" s="1558">
        <v>0</v>
      </c>
    </row>
    <row r="143" spans="1:34" s="1562" customFormat="1" ht="0.75" hidden="1" customHeight="1">
      <c r="A143" s="1707"/>
      <c r="B143" s="1707"/>
      <c r="C143" s="306" t="s">
        <v>1156</v>
      </c>
      <c r="D143" s="2378"/>
      <c r="E143" s="2175"/>
      <c r="F143" s="2313"/>
      <c r="G143" s="337"/>
      <c r="H143" s="1427"/>
      <c r="I143" s="588"/>
      <c r="J143" s="508"/>
      <c r="K143" s="1427"/>
      <c r="L143" s="151"/>
      <c r="M143" s="278"/>
      <c r="N143" s="271"/>
      <c r="O143" s="1551"/>
      <c r="P143" s="1551"/>
      <c r="AH143" s="1558">
        <v>0</v>
      </c>
    </row>
    <row r="144" spans="1:34" s="1562" customFormat="1" ht="18.75" hidden="1" customHeight="1">
      <c r="A144" s="1707" t="s">
        <v>277</v>
      </c>
      <c r="B144" s="1707" t="s">
        <v>278</v>
      </c>
      <c r="C144" s="306"/>
      <c r="D144" s="2378"/>
      <c r="E144" s="2175"/>
      <c r="F144" s="2313" t="str">
        <f>INDEX(PT_DIFFERENTIATION_VTAR,MATCH(A144,PT_DIFFERENTIATION_VTAR_ID,0))</f>
        <v>Тариф на подключение (технологическое присоединение) к централизованной системе водоотведения</v>
      </c>
      <c r="G144" s="2353" t="str">
        <f>INDEX(PT_DIFFERENTIATION_NTAR,MATCH(B144,PT_DIFFERENTIATION_NTAR_ID,0))</f>
        <v/>
      </c>
      <c r="H144" s="1788"/>
      <c r="I144" s="1666"/>
      <c r="J144" s="1700"/>
      <c r="K144" s="1705"/>
      <c r="L144" s="1788" t="s">
        <v>308</v>
      </c>
      <c r="M144" s="278"/>
      <c r="N144" s="271"/>
      <c r="O144" s="1551"/>
      <c r="P144" s="1551"/>
      <c r="AH144" s="1558">
        <v>0</v>
      </c>
    </row>
    <row r="145" spans="1:34" s="1562" customFormat="1" ht="18.75" hidden="1" customHeight="1">
      <c r="A145" s="1707"/>
      <c r="B145" s="1707"/>
      <c r="C145" s="306" t="s">
        <v>1149</v>
      </c>
      <c r="D145" s="2378"/>
      <c r="E145" s="2175"/>
      <c r="F145" s="2313"/>
      <c r="G145" s="2353"/>
      <c r="H145" s="1427"/>
      <c r="I145" s="588" t="s">
        <v>1148</v>
      </c>
      <c r="J145" s="508"/>
      <c r="K145" s="1427"/>
      <c r="L145" s="151"/>
      <c r="M145" s="278"/>
      <c r="N145" s="271"/>
      <c r="O145" s="1551"/>
      <c r="P145" s="1551"/>
      <c r="AH145" s="1558">
        <v>0</v>
      </c>
    </row>
    <row r="146" spans="1:34" s="1562" customFormat="1" ht="1.1499999999999999" customHeight="1">
      <c r="A146" s="1707"/>
      <c r="B146" s="1707"/>
      <c r="C146" s="306" t="s">
        <v>1156</v>
      </c>
      <c r="D146" s="2378"/>
      <c r="E146" s="2175"/>
      <c r="F146" s="2313"/>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7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77"/>
      <c r="H147" s="2377"/>
      <c r="I147" s="2377"/>
      <c r="J147" s="2377"/>
      <c r="K147" s="2377"/>
      <c r="L147" s="2377"/>
      <c r="M147" s="234"/>
      <c r="N147" s="271"/>
      <c r="AH147" s="311">
        <v>19</v>
      </c>
    </row>
    <row r="148" spans="1:34" s="1562" customFormat="1" ht="60.75" hidden="1" customHeight="1">
      <c r="A148" s="1707" t="s">
        <v>159</v>
      </c>
      <c r="B148" s="1707" t="s">
        <v>160</v>
      </c>
      <c r="C148" s="306"/>
      <c r="D148" s="2378"/>
      <c r="E148" s="2175"/>
      <c r="F148" s="231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3" t="str">
        <f>INDEX(PT_DIFFERENTIATION_NTAR,MATCH(B148,PT_DIFFERENTIATION_NTAR_ID,0))</f>
        <v/>
      </c>
      <c r="H148" s="1788"/>
      <c r="I148" s="1666"/>
      <c r="J148" s="1700"/>
      <c r="K148" s="1705"/>
      <c r="L148" s="1788" t="s">
        <v>308</v>
      </c>
      <c r="M148" s="21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1149</v>
      </c>
      <c r="D149" s="2378"/>
      <c r="E149" s="2175"/>
      <c r="F149" s="2313"/>
      <c r="G149" s="2353"/>
      <c r="H149" s="1427"/>
      <c r="I149" s="588" t="s">
        <v>1148</v>
      </c>
      <c r="J149" s="508"/>
      <c r="K149" s="1427"/>
      <c r="L149" s="151"/>
      <c r="M149" s="2136"/>
      <c r="N149" s="271"/>
      <c r="O149" s="1551"/>
      <c r="P149" s="1551"/>
      <c r="AH149" s="1558">
        <v>0</v>
      </c>
    </row>
    <row r="150" spans="1:34" s="1562" customFormat="1" ht="0.75" hidden="1" customHeight="1">
      <c r="A150" s="1707"/>
      <c r="B150" s="1707"/>
      <c r="C150" s="306" t="s">
        <v>1156</v>
      </c>
      <c r="D150" s="2378"/>
      <c r="E150" s="2175"/>
      <c r="F150" s="2313"/>
      <c r="G150" s="337"/>
      <c r="H150" s="1427"/>
      <c r="I150" s="588"/>
      <c r="J150" s="508"/>
      <c r="K150" s="1427"/>
      <c r="L150" s="151"/>
      <c r="M150" s="2136"/>
      <c r="N150" s="271"/>
      <c r="O150" s="1551"/>
      <c r="P150" s="1551"/>
      <c r="AH150" s="1558">
        <v>0</v>
      </c>
    </row>
    <row r="151" spans="1:34" s="1562" customFormat="1" ht="45" hidden="1" customHeight="1">
      <c r="A151" s="1707" t="s">
        <v>164</v>
      </c>
      <c r="B151" s="1707" t="s">
        <v>165</v>
      </c>
      <c r="C151" s="306"/>
      <c r="D151" s="2378"/>
      <c r="E151" s="2175"/>
      <c r="F151" s="2313" t="str">
        <f>INDEX(PT_DIFFERENTIATION_VTAR,MATCH(A151,PT_DIFFERENTIATION_VTAR_ID,0))</f>
        <v/>
      </c>
      <c r="G151" s="2353" t="str">
        <f>INDEX(PT_DIFFERENTIATION_NTAR,MATCH(B151,PT_DIFFERENTIATION_NTAR_ID,0))</f>
        <v/>
      </c>
      <c r="H151" s="1788"/>
      <c r="I151" s="1666"/>
      <c r="J151" s="1700"/>
      <c r="K151" s="1705"/>
      <c r="L151" s="1788" t="s">
        <v>308</v>
      </c>
      <c r="M151" s="2137"/>
      <c r="N151" s="271"/>
      <c r="O151" s="1551"/>
      <c r="P151" s="1551"/>
      <c r="AH151" s="1558">
        <v>0</v>
      </c>
    </row>
    <row r="152" spans="1:34" s="1562" customFormat="1" ht="18.75" hidden="1" customHeight="1">
      <c r="A152" s="1707"/>
      <c r="B152" s="1707"/>
      <c r="C152" s="306" t="s">
        <v>1149</v>
      </c>
      <c r="D152" s="2378"/>
      <c r="E152" s="2175"/>
      <c r="F152" s="2313"/>
      <c r="G152" s="2353"/>
      <c r="H152" s="1427"/>
      <c r="I152" s="588" t="s">
        <v>1148</v>
      </c>
      <c r="J152" s="508"/>
      <c r="K152" s="1427"/>
      <c r="L152" s="151"/>
      <c r="M152" s="1787"/>
      <c r="N152" s="271"/>
      <c r="O152" s="1551"/>
      <c r="P152" s="1551"/>
      <c r="AH152" s="1558">
        <v>0</v>
      </c>
    </row>
    <row r="153" spans="1:34" s="1562" customFormat="1" ht="0.75" hidden="1" customHeight="1">
      <c r="A153" s="1707"/>
      <c r="B153" s="1707"/>
      <c r="C153" s="306" t="s">
        <v>1156</v>
      </c>
      <c r="D153" s="2378"/>
      <c r="E153" s="2175"/>
      <c r="F153" s="2313"/>
      <c r="G153" s="337"/>
      <c r="H153" s="1427"/>
      <c r="I153" s="588"/>
      <c r="J153" s="508"/>
      <c r="K153" s="1427"/>
      <c r="L153" s="151"/>
      <c r="M153" s="278"/>
      <c r="N153" s="271"/>
      <c r="O153" s="1551"/>
      <c r="P153" s="1551"/>
      <c r="AH153" s="1558">
        <v>0</v>
      </c>
    </row>
    <row r="154" spans="1:34" s="1562" customFormat="1" ht="45" hidden="1" customHeight="1">
      <c r="A154" s="1707" t="s">
        <v>171</v>
      </c>
      <c r="B154" s="1707" t="s">
        <v>172</v>
      </c>
      <c r="C154" s="306"/>
      <c r="D154" s="2378"/>
      <c r="E154" s="2175"/>
      <c r="F154" s="231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3" t="str">
        <f>INDEX(PT_DIFFERENTIATION_NTAR,MATCH(B154,PT_DIFFERENTIATION_NTAR_ID,0))</f>
        <v/>
      </c>
      <c r="H154" s="1788"/>
      <c r="I154" s="1666"/>
      <c r="J154" s="1700"/>
      <c r="K154" s="1705"/>
      <c r="L154" s="1788" t="s">
        <v>308</v>
      </c>
      <c r="M154" s="278"/>
      <c r="N154" s="271"/>
      <c r="O154" s="1551"/>
      <c r="P154" s="1551"/>
      <c r="AH154" s="1558">
        <v>0</v>
      </c>
    </row>
    <row r="155" spans="1:34" s="1562" customFormat="1" ht="18.75" hidden="1" customHeight="1">
      <c r="A155" s="1707"/>
      <c r="B155" s="1707"/>
      <c r="C155" s="306" t="s">
        <v>1149</v>
      </c>
      <c r="D155" s="2378"/>
      <c r="E155" s="2175"/>
      <c r="F155" s="2313"/>
      <c r="G155" s="2353"/>
      <c r="H155" s="1427"/>
      <c r="I155" s="588" t="s">
        <v>1148</v>
      </c>
      <c r="J155" s="508"/>
      <c r="K155" s="1427"/>
      <c r="L155" s="151"/>
      <c r="M155" s="278"/>
      <c r="N155" s="271"/>
      <c r="O155" s="1551"/>
      <c r="P155" s="1551"/>
      <c r="AH155" s="1558">
        <v>0</v>
      </c>
    </row>
    <row r="156" spans="1:34" s="1562" customFormat="1" ht="0.75" hidden="1" customHeight="1">
      <c r="A156" s="1707"/>
      <c r="B156" s="1707"/>
      <c r="C156" s="306" t="s">
        <v>1156</v>
      </c>
      <c r="D156" s="2378"/>
      <c r="E156" s="2175"/>
      <c r="F156" s="2313"/>
      <c r="G156" s="337"/>
      <c r="H156" s="1427"/>
      <c r="I156" s="588"/>
      <c r="J156" s="508"/>
      <c r="K156" s="1427"/>
      <c r="L156" s="151"/>
      <c r="M156" s="278"/>
      <c r="N156" s="271"/>
      <c r="O156" s="1551"/>
      <c r="P156" s="1551"/>
      <c r="AH156" s="1558">
        <v>0</v>
      </c>
    </row>
    <row r="157" spans="1:34" s="1562" customFormat="1" ht="45" hidden="1" customHeight="1">
      <c r="A157" s="1707" t="s">
        <v>177</v>
      </c>
      <c r="B157" s="1707" t="s">
        <v>178</v>
      </c>
      <c r="C157" s="306"/>
      <c r="D157" s="2378"/>
      <c r="E157" s="2175"/>
      <c r="F157" s="231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3" t="str">
        <f>INDEX(PT_DIFFERENTIATION_NTAR,MATCH(B157,PT_DIFFERENTIATION_NTAR_ID,0))</f>
        <v/>
      </c>
      <c r="H157" s="1788"/>
      <c r="I157" s="1666"/>
      <c r="J157" s="1700"/>
      <c r="K157" s="1705"/>
      <c r="L157" s="1788" t="s">
        <v>308</v>
      </c>
      <c r="M157" s="278"/>
      <c r="N157" s="271"/>
      <c r="O157" s="1551"/>
      <c r="P157" s="1551"/>
      <c r="AH157" s="1558">
        <v>0</v>
      </c>
    </row>
    <row r="158" spans="1:34" s="1562" customFormat="1" ht="18.75" hidden="1" customHeight="1">
      <c r="A158" s="1707"/>
      <c r="B158" s="1707"/>
      <c r="C158" s="306" t="s">
        <v>1149</v>
      </c>
      <c r="D158" s="2378"/>
      <c r="E158" s="2175"/>
      <c r="F158" s="2313"/>
      <c r="G158" s="2353"/>
      <c r="H158" s="1427"/>
      <c r="I158" s="588" t="s">
        <v>1148</v>
      </c>
      <c r="J158" s="508"/>
      <c r="K158" s="1427"/>
      <c r="L158" s="151"/>
      <c r="M158" s="278"/>
      <c r="N158" s="271"/>
      <c r="O158" s="1551"/>
      <c r="P158" s="1551"/>
      <c r="AH158" s="1558">
        <v>0</v>
      </c>
    </row>
    <row r="159" spans="1:34" s="1562" customFormat="1" ht="0.75" hidden="1" customHeight="1">
      <c r="A159" s="1707"/>
      <c r="B159" s="1707"/>
      <c r="C159" s="306" t="s">
        <v>1156</v>
      </c>
      <c r="D159" s="2378"/>
      <c r="E159" s="2175"/>
      <c r="F159" s="2313"/>
      <c r="G159" s="337"/>
      <c r="H159" s="1427"/>
      <c r="I159" s="588"/>
      <c r="J159" s="508"/>
      <c r="K159" s="1427"/>
      <c r="L159" s="151"/>
      <c r="M159" s="278"/>
      <c r="N159" s="271"/>
      <c r="O159" s="1551"/>
      <c r="P159" s="1551"/>
      <c r="AH159" s="1558">
        <v>0</v>
      </c>
    </row>
    <row r="160" spans="1:34" s="1562" customFormat="1" ht="18.75" hidden="1" customHeight="1">
      <c r="A160" s="1707" t="s">
        <v>183</v>
      </c>
      <c r="B160" s="1707" t="s">
        <v>184</v>
      </c>
      <c r="C160" s="306"/>
      <c r="D160" s="2378"/>
      <c r="E160" s="2175"/>
      <c r="F160" s="2313" t="str">
        <f>INDEX(PT_DIFFERENTIATION_VTAR,MATCH(A160,PT_DIFFERENTIATION_VTAR_ID,0))</f>
        <v>Тарифы на услуги по передаче тепловой энергии</v>
      </c>
      <c r="G160" s="2353" t="str">
        <f>INDEX(PT_DIFFERENTIATION_NTAR,MATCH(B160,PT_DIFFERENTIATION_NTAR_ID,0))</f>
        <v/>
      </c>
      <c r="H160" s="1788"/>
      <c r="I160" s="1666"/>
      <c r="J160" s="1700"/>
      <c r="K160" s="1705"/>
      <c r="L160" s="1788" t="s">
        <v>308</v>
      </c>
      <c r="M160" s="278"/>
      <c r="N160" s="271"/>
      <c r="O160" s="1551"/>
      <c r="P160" s="1551"/>
      <c r="AH160" s="1558">
        <v>0</v>
      </c>
    </row>
    <row r="161" spans="1:34" s="1562" customFormat="1" ht="18.75" hidden="1" customHeight="1">
      <c r="A161" s="1707"/>
      <c r="B161" s="1707"/>
      <c r="C161" s="306" t="s">
        <v>1149</v>
      </c>
      <c r="D161" s="2378"/>
      <c r="E161" s="2175"/>
      <c r="F161" s="2313"/>
      <c r="G161" s="2353"/>
      <c r="H161" s="1427"/>
      <c r="I161" s="588" t="s">
        <v>1148</v>
      </c>
      <c r="J161" s="508"/>
      <c r="K161" s="1427"/>
      <c r="L161" s="151"/>
      <c r="M161" s="278"/>
      <c r="N161" s="271"/>
      <c r="O161" s="1551"/>
      <c r="P161" s="1551"/>
      <c r="AH161" s="1558">
        <v>0</v>
      </c>
    </row>
    <row r="162" spans="1:34" s="1562" customFormat="1" ht="0.75" hidden="1" customHeight="1">
      <c r="A162" s="1707"/>
      <c r="B162" s="1707"/>
      <c r="C162" s="306" t="s">
        <v>1156</v>
      </c>
      <c r="D162" s="2378"/>
      <c r="E162" s="2175"/>
      <c r="F162" s="2313"/>
      <c r="G162" s="337"/>
      <c r="H162" s="1427"/>
      <c r="I162" s="588"/>
      <c r="J162" s="508"/>
      <c r="K162" s="1427"/>
      <c r="L162" s="151"/>
      <c r="M162" s="278"/>
      <c r="N162" s="271"/>
      <c r="O162" s="1551"/>
      <c r="P162" s="1551"/>
      <c r="AH162" s="1558">
        <v>0</v>
      </c>
    </row>
    <row r="163" spans="1:34" s="1562" customFormat="1" ht="18.75" hidden="1" customHeight="1">
      <c r="A163" s="1707" t="s">
        <v>189</v>
      </c>
      <c r="B163" s="1707" t="s">
        <v>190</v>
      </c>
      <c r="C163" s="306"/>
      <c r="D163" s="2378"/>
      <c r="E163" s="2175"/>
      <c r="F163" s="2313" t="str">
        <f>INDEX(PT_DIFFERENTIATION_VTAR,MATCH(A163,PT_DIFFERENTIATION_VTAR_ID,0))</f>
        <v>Тарифы на услуги по передаче теплоносителя</v>
      </c>
      <c r="G163" s="2353" t="str">
        <f>INDEX(PT_DIFFERENTIATION_NTAR,MATCH(B163,PT_DIFFERENTIATION_NTAR_ID,0))</f>
        <v/>
      </c>
      <c r="H163" s="1788"/>
      <c r="I163" s="1666"/>
      <c r="J163" s="1700"/>
      <c r="K163" s="1705"/>
      <c r="L163" s="1788" t="s">
        <v>308</v>
      </c>
      <c r="M163" s="278"/>
      <c r="N163" s="271"/>
      <c r="O163" s="1551"/>
      <c r="P163" s="1551"/>
      <c r="AH163" s="1558">
        <v>0</v>
      </c>
    </row>
    <row r="164" spans="1:34" s="1562" customFormat="1" ht="18.75" hidden="1" customHeight="1">
      <c r="A164" s="1707"/>
      <c r="B164" s="1707"/>
      <c r="C164" s="306" t="s">
        <v>1149</v>
      </c>
      <c r="D164" s="2378"/>
      <c r="E164" s="2175"/>
      <c r="F164" s="2313"/>
      <c r="G164" s="2353"/>
      <c r="H164" s="1427"/>
      <c r="I164" s="588" t="s">
        <v>1148</v>
      </c>
      <c r="J164" s="508"/>
      <c r="K164" s="1427"/>
      <c r="L164" s="151"/>
      <c r="M164" s="278"/>
      <c r="N164" s="271"/>
      <c r="O164" s="1551"/>
      <c r="P164" s="1551"/>
      <c r="AH164" s="1558">
        <v>0</v>
      </c>
    </row>
    <row r="165" spans="1:34" s="1562" customFormat="1" ht="0.75" hidden="1" customHeight="1">
      <c r="A165" s="1707"/>
      <c r="B165" s="1707"/>
      <c r="C165" s="306" t="s">
        <v>1156</v>
      </c>
      <c r="D165" s="2378"/>
      <c r="E165" s="2175"/>
      <c r="F165" s="2313"/>
      <c r="G165" s="337"/>
      <c r="H165" s="1427"/>
      <c r="I165" s="588"/>
      <c r="J165" s="508"/>
      <c r="K165" s="1427"/>
      <c r="L165" s="151"/>
      <c r="M165" s="278"/>
      <c r="N165" s="271"/>
      <c r="O165" s="1551"/>
      <c r="P165" s="1551"/>
      <c r="AH165" s="1558">
        <v>0</v>
      </c>
    </row>
    <row r="166" spans="1:34" s="1562" customFormat="1" ht="18.75" hidden="1" customHeight="1">
      <c r="A166" s="1707" t="s">
        <v>195</v>
      </c>
      <c r="B166" s="1707" t="s">
        <v>196</v>
      </c>
      <c r="C166" s="306"/>
      <c r="D166" s="2378"/>
      <c r="E166" s="2175"/>
      <c r="F166" s="231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3" t="str">
        <f>INDEX(PT_DIFFERENTIATION_NTAR,MATCH(B166,PT_DIFFERENTIATION_NTAR_ID,0))</f>
        <v/>
      </c>
      <c r="H166" s="1788"/>
      <c r="I166" s="1666"/>
      <c r="J166" s="1700"/>
      <c r="K166" s="1705"/>
      <c r="L166" s="1788" t="s">
        <v>308</v>
      </c>
      <c r="M166" s="278"/>
      <c r="N166" s="271"/>
      <c r="O166" s="1551"/>
      <c r="P166" s="1551"/>
      <c r="AH166" s="1558">
        <v>0</v>
      </c>
    </row>
    <row r="167" spans="1:34" s="1562" customFormat="1" ht="18.75" hidden="1" customHeight="1">
      <c r="A167" s="1707"/>
      <c r="B167" s="1707"/>
      <c r="C167" s="306" t="s">
        <v>1149</v>
      </c>
      <c r="D167" s="2378"/>
      <c r="E167" s="2175"/>
      <c r="F167" s="2313"/>
      <c r="G167" s="2353"/>
      <c r="H167" s="1427"/>
      <c r="I167" s="588" t="s">
        <v>1148</v>
      </c>
      <c r="J167" s="508"/>
      <c r="K167" s="1427"/>
      <c r="L167" s="151"/>
      <c r="M167" s="278"/>
      <c r="N167" s="271"/>
      <c r="O167" s="1551"/>
      <c r="P167" s="1551"/>
      <c r="AH167" s="1558">
        <v>0</v>
      </c>
    </row>
    <row r="168" spans="1:34" s="1562" customFormat="1" ht="0.75" hidden="1" customHeight="1">
      <c r="A168" s="1707"/>
      <c r="B168" s="1707"/>
      <c r="C168" s="306" t="s">
        <v>1156</v>
      </c>
      <c r="D168" s="2378"/>
      <c r="E168" s="2175"/>
      <c r="F168" s="2313"/>
      <c r="G168" s="337"/>
      <c r="H168" s="1427"/>
      <c r="I168" s="588"/>
      <c r="J168" s="508"/>
      <c r="K168" s="1427"/>
      <c r="L168" s="151"/>
      <c r="M168" s="278"/>
      <c r="N168" s="271"/>
      <c r="O168" s="1551"/>
      <c r="P168" s="1551"/>
      <c r="AH168" s="1558">
        <v>0</v>
      </c>
    </row>
    <row r="169" spans="1:34" s="1562" customFormat="1" ht="18.75" hidden="1" customHeight="1">
      <c r="A169" s="1707" t="s">
        <v>201</v>
      </c>
      <c r="B169" s="1707" t="s">
        <v>202</v>
      </c>
      <c r="C169" s="306"/>
      <c r="D169" s="2378"/>
      <c r="E169" s="2175"/>
      <c r="F169" s="2313" t="str">
        <f>INDEX(PT_DIFFERENTIATION_VTAR,MATCH(A169,PT_DIFFERENTIATION_VTAR_ID,0))</f>
        <v>Плата за подключение (технологическое присоединение) к системе теплоснабжения</v>
      </c>
      <c r="G169" s="2353" t="str">
        <f>INDEX(PT_DIFFERENTIATION_NTAR,MATCH(B169,PT_DIFFERENTIATION_NTAR_ID,0))</f>
        <v/>
      </c>
      <c r="H169" s="1788"/>
      <c r="I169" s="1666"/>
      <c r="J169" s="1700"/>
      <c r="K169" s="1705"/>
      <c r="L169" s="1788" t="s">
        <v>308</v>
      </c>
      <c r="M169" s="278"/>
      <c r="N169" s="271"/>
      <c r="O169" s="1551"/>
      <c r="P169" s="1551"/>
      <c r="AH169" s="1558">
        <v>0</v>
      </c>
    </row>
    <row r="170" spans="1:34" s="1562" customFormat="1" ht="18.75" hidden="1" customHeight="1">
      <c r="A170" s="1707"/>
      <c r="B170" s="1707"/>
      <c r="C170" s="306" t="s">
        <v>1149</v>
      </c>
      <c r="D170" s="2378"/>
      <c r="E170" s="2175"/>
      <c r="F170" s="2313"/>
      <c r="G170" s="2353"/>
      <c r="H170" s="1427"/>
      <c r="I170" s="588" t="s">
        <v>1148</v>
      </c>
      <c r="J170" s="508"/>
      <c r="K170" s="1427"/>
      <c r="L170" s="151"/>
      <c r="M170" s="278"/>
      <c r="N170" s="271"/>
      <c r="O170" s="1551"/>
      <c r="P170" s="1551"/>
      <c r="AH170" s="1558">
        <v>0</v>
      </c>
    </row>
    <row r="171" spans="1:34" s="1562" customFormat="1" ht="0.75" hidden="1" customHeight="1">
      <c r="A171" s="1707"/>
      <c r="B171" s="1707"/>
      <c r="C171" s="306" t="s">
        <v>1156</v>
      </c>
      <c r="D171" s="2378"/>
      <c r="E171" s="2175"/>
      <c r="F171" s="2313"/>
      <c r="G171" s="337"/>
      <c r="H171" s="1427"/>
      <c r="I171" s="588"/>
      <c r="J171" s="508"/>
      <c r="K171" s="1427"/>
      <c r="L171" s="151"/>
      <c r="M171" s="278"/>
      <c r="N171" s="271"/>
      <c r="O171" s="1551"/>
      <c r="P171" s="1551"/>
      <c r="AH171" s="1558">
        <v>0</v>
      </c>
    </row>
    <row r="172" spans="1:34" s="1562" customFormat="1" ht="18.75" hidden="1" customHeight="1">
      <c r="A172" s="1707" t="s">
        <v>207</v>
      </c>
      <c r="B172" s="1707" t="s">
        <v>208</v>
      </c>
      <c r="C172" s="306"/>
      <c r="D172" s="2378"/>
      <c r="E172" s="2175"/>
      <c r="F172" s="2313" t="str">
        <f>INDEX(PT_DIFFERENTIATION_VTAR,MATCH(A172,PT_DIFFERENTIATION_VTAR_ID,0))</f>
        <v>Плата за подключение (технологическое присоединение) к системе теплоснабжения (индивидуальная)</v>
      </c>
      <c r="G172" s="2353" t="str">
        <f>INDEX(PT_DIFFERENTIATION_NTAR,MATCH(B172,PT_DIFFERENTIATION_NTAR_ID,0))</f>
        <v/>
      </c>
      <c r="H172" s="1912"/>
      <c r="I172" s="1666"/>
      <c r="J172" s="1700"/>
      <c r="K172" s="1705"/>
      <c r="L172" s="1912" t="s">
        <v>308</v>
      </c>
      <c r="M172" s="278"/>
      <c r="N172" s="271"/>
      <c r="O172" s="1551"/>
      <c r="P172" s="1551"/>
      <c r="AH172" s="1558">
        <v>0</v>
      </c>
    </row>
    <row r="173" spans="1:34" s="1562" customFormat="1" ht="18.75" hidden="1" customHeight="1">
      <c r="A173" s="1707"/>
      <c r="B173" s="1707"/>
      <c r="C173" s="306" t="s">
        <v>1149</v>
      </c>
      <c r="D173" s="2378"/>
      <c r="E173" s="2175"/>
      <c r="F173" s="2313"/>
      <c r="G173" s="2353"/>
      <c r="H173" s="1427"/>
      <c r="I173" s="588" t="s">
        <v>1148</v>
      </c>
      <c r="J173" s="508"/>
      <c r="K173" s="1427"/>
      <c r="L173" s="151"/>
      <c r="M173" s="278"/>
      <c r="N173" s="271"/>
      <c r="O173" s="1551"/>
      <c r="P173" s="1551"/>
      <c r="AH173" s="1558">
        <v>0</v>
      </c>
    </row>
    <row r="174" spans="1:34" s="1562" customFormat="1" ht="0.75" hidden="1" customHeight="1">
      <c r="A174" s="1707"/>
      <c r="B174" s="1707"/>
      <c r="C174" s="306" t="s">
        <v>1156</v>
      </c>
      <c r="D174" s="2378"/>
      <c r="E174" s="2175"/>
      <c r="F174" s="2313"/>
      <c r="G174" s="337"/>
      <c r="H174" s="1427"/>
      <c r="I174" s="588"/>
      <c r="J174" s="508"/>
      <c r="K174" s="1427"/>
      <c r="L174" s="151"/>
      <c r="M174" s="278"/>
      <c r="N174" s="271"/>
      <c r="O174" s="1551"/>
      <c r="P174" s="1551"/>
      <c r="AH174" s="1558">
        <v>0</v>
      </c>
    </row>
    <row r="175" spans="1:34" s="1562" customFormat="1" ht="18.75" hidden="1" customHeight="1">
      <c r="A175" s="1707" t="s">
        <v>227</v>
      </c>
      <c r="B175" s="1707" t="s">
        <v>228</v>
      </c>
      <c r="C175" s="306"/>
      <c r="D175" s="2378"/>
      <c r="E175" s="2175"/>
      <c r="F175" s="2313" t="str">
        <f>INDEX(PT_DIFFERENTIATION_VTAR,MATCH(A175,PT_DIFFERENTIATION_VTAR_ID,0))</f>
        <v>Тариф на питьевую воду (питьевое водоснабжение)</v>
      </c>
      <c r="G175" s="2353" t="str">
        <f>INDEX(PT_DIFFERENTIATION_NTAR,MATCH(B175,PT_DIFFERENTIATION_NTAR_ID,0))</f>
        <v/>
      </c>
      <c r="H175" s="1788"/>
      <c r="I175" s="1666"/>
      <c r="J175" s="1700"/>
      <c r="K175" s="1705"/>
      <c r="L175" s="1788" t="s">
        <v>308</v>
      </c>
      <c r="M175" s="278"/>
      <c r="N175" s="271"/>
      <c r="O175" s="1551"/>
      <c r="P175" s="1551"/>
      <c r="AH175" s="1558">
        <v>0</v>
      </c>
    </row>
    <row r="176" spans="1:34" s="1562" customFormat="1" ht="18.75" hidden="1" customHeight="1">
      <c r="A176" s="1707"/>
      <c r="B176" s="1707"/>
      <c r="C176" s="306" t="s">
        <v>1149</v>
      </c>
      <c r="D176" s="2378"/>
      <c r="E176" s="2175"/>
      <c r="F176" s="2313"/>
      <c r="G176" s="2353"/>
      <c r="H176" s="1427"/>
      <c r="I176" s="588" t="s">
        <v>1148</v>
      </c>
      <c r="J176" s="508"/>
      <c r="K176" s="1427"/>
      <c r="L176" s="151"/>
      <c r="M176" s="278"/>
      <c r="N176" s="271"/>
      <c r="O176" s="1551"/>
      <c r="P176" s="1551"/>
      <c r="AH176" s="1558">
        <v>0</v>
      </c>
    </row>
    <row r="177" spans="1:34" s="1562" customFormat="1" ht="0.75" hidden="1" customHeight="1">
      <c r="A177" s="1707"/>
      <c r="B177" s="1707"/>
      <c r="C177" s="306" t="s">
        <v>1156</v>
      </c>
      <c r="D177" s="2378"/>
      <c r="E177" s="2175"/>
      <c r="F177" s="2313"/>
      <c r="G177" s="337"/>
      <c r="H177" s="1427"/>
      <c r="I177" s="588"/>
      <c r="J177" s="508"/>
      <c r="K177" s="1427"/>
      <c r="L177" s="151"/>
      <c r="M177" s="278"/>
      <c r="N177" s="271"/>
      <c r="O177" s="1551"/>
      <c r="P177" s="1551"/>
      <c r="AH177" s="1558">
        <v>0</v>
      </c>
    </row>
    <row r="178" spans="1:34" s="1562" customFormat="1" ht="18.75" hidden="1" customHeight="1">
      <c r="A178" s="1707" t="s">
        <v>232</v>
      </c>
      <c r="B178" s="1707" t="s">
        <v>233</v>
      </c>
      <c r="C178" s="306"/>
      <c r="D178" s="2378"/>
      <c r="E178" s="2175"/>
      <c r="F178" s="2313" t="str">
        <f>INDEX(PT_DIFFERENTIATION_VTAR,MATCH(A178,PT_DIFFERENTIATION_VTAR_ID,0))</f>
        <v>Тариф на техническую воду</v>
      </c>
      <c r="G178" s="2353" t="str">
        <f>INDEX(PT_DIFFERENTIATION_NTAR,MATCH(B178,PT_DIFFERENTIATION_NTAR_ID,0))</f>
        <v/>
      </c>
      <c r="H178" s="1788"/>
      <c r="I178" s="1666"/>
      <c r="J178" s="1700"/>
      <c r="K178" s="1705"/>
      <c r="L178" s="1788" t="s">
        <v>308</v>
      </c>
      <c r="M178" s="278"/>
      <c r="N178" s="271"/>
      <c r="O178" s="1551"/>
      <c r="P178" s="1551"/>
      <c r="AH178" s="1558">
        <v>0</v>
      </c>
    </row>
    <row r="179" spans="1:34" s="1562" customFormat="1" ht="18.75" hidden="1" customHeight="1">
      <c r="A179" s="1707"/>
      <c r="B179" s="1707"/>
      <c r="C179" s="306" t="s">
        <v>1149</v>
      </c>
      <c r="D179" s="2378"/>
      <c r="E179" s="2175"/>
      <c r="F179" s="2313"/>
      <c r="G179" s="2353"/>
      <c r="H179" s="1427"/>
      <c r="I179" s="588" t="s">
        <v>1148</v>
      </c>
      <c r="J179" s="508"/>
      <c r="K179" s="1427"/>
      <c r="L179" s="151"/>
      <c r="M179" s="278"/>
      <c r="N179" s="271"/>
      <c r="O179" s="1551"/>
      <c r="P179" s="1551"/>
      <c r="AH179" s="1558">
        <v>0</v>
      </c>
    </row>
    <row r="180" spans="1:34" s="1562" customFormat="1" ht="0.75" hidden="1" customHeight="1">
      <c r="A180" s="1707"/>
      <c r="B180" s="1707"/>
      <c r="C180" s="306" t="s">
        <v>1156</v>
      </c>
      <c r="D180" s="2378"/>
      <c r="E180" s="2175"/>
      <c r="F180" s="2313"/>
      <c r="G180" s="337"/>
      <c r="H180" s="1427"/>
      <c r="I180" s="588"/>
      <c r="J180" s="508"/>
      <c r="K180" s="1427"/>
      <c r="L180" s="151"/>
      <c r="M180" s="278"/>
      <c r="N180" s="271"/>
      <c r="O180" s="1551"/>
      <c r="P180" s="1551"/>
      <c r="AH180" s="1558">
        <v>0</v>
      </c>
    </row>
    <row r="181" spans="1:34" s="1562" customFormat="1" ht="18.75" hidden="1" customHeight="1">
      <c r="A181" s="1707" t="s">
        <v>237</v>
      </c>
      <c r="B181" s="1707" t="s">
        <v>238</v>
      </c>
      <c r="C181" s="306"/>
      <c r="D181" s="2378"/>
      <c r="E181" s="2175"/>
      <c r="F181" s="2313" t="str">
        <f>INDEX(PT_DIFFERENTIATION_VTAR,MATCH(A181,PT_DIFFERENTIATION_VTAR_ID,0))</f>
        <v>Тариф на транспортировку воды</v>
      </c>
      <c r="G181" s="2353" t="str">
        <f>INDEX(PT_DIFFERENTIATION_NTAR,MATCH(B181,PT_DIFFERENTIATION_NTAR_ID,0))</f>
        <v/>
      </c>
      <c r="H181" s="1788"/>
      <c r="I181" s="1666"/>
      <c r="J181" s="1700"/>
      <c r="K181" s="1705"/>
      <c r="L181" s="1788" t="s">
        <v>308</v>
      </c>
      <c r="M181" s="278"/>
      <c r="N181" s="271"/>
      <c r="O181" s="1551"/>
      <c r="P181" s="1551"/>
      <c r="AH181" s="1558">
        <v>0</v>
      </c>
    </row>
    <row r="182" spans="1:34" s="1562" customFormat="1" ht="18.75" hidden="1" customHeight="1">
      <c r="A182" s="1707"/>
      <c r="B182" s="1707"/>
      <c r="C182" s="306" t="s">
        <v>1149</v>
      </c>
      <c r="D182" s="2378"/>
      <c r="E182" s="2175"/>
      <c r="F182" s="2313"/>
      <c r="G182" s="2353"/>
      <c r="H182" s="1427"/>
      <c r="I182" s="588" t="s">
        <v>1148</v>
      </c>
      <c r="J182" s="508"/>
      <c r="K182" s="1427"/>
      <c r="L182" s="151"/>
      <c r="M182" s="278"/>
      <c r="N182" s="271"/>
      <c r="O182" s="1551"/>
      <c r="P182" s="1551"/>
      <c r="AH182" s="1558">
        <v>0</v>
      </c>
    </row>
    <row r="183" spans="1:34" s="1562" customFormat="1" ht="0.75" hidden="1" customHeight="1">
      <c r="A183" s="1707"/>
      <c r="B183" s="1707"/>
      <c r="C183" s="306" t="s">
        <v>1156</v>
      </c>
      <c r="D183" s="2378"/>
      <c r="E183" s="2175"/>
      <c r="F183" s="2313"/>
      <c r="G183" s="337"/>
      <c r="H183" s="1427"/>
      <c r="I183" s="588"/>
      <c r="J183" s="508"/>
      <c r="K183" s="1427"/>
      <c r="L183" s="151"/>
      <c r="M183" s="278"/>
      <c r="N183" s="271"/>
      <c r="O183" s="1551"/>
      <c r="P183" s="1551"/>
      <c r="AH183" s="1558">
        <v>0</v>
      </c>
    </row>
    <row r="184" spans="1:34" s="1562" customFormat="1" ht="18.75" hidden="1" customHeight="1">
      <c r="A184" s="1707" t="s">
        <v>242</v>
      </c>
      <c r="B184" s="1707" t="s">
        <v>243</v>
      </c>
      <c r="C184" s="306"/>
      <c r="D184" s="2378"/>
      <c r="E184" s="2175"/>
      <c r="F184" s="2313" t="str">
        <f>INDEX(PT_DIFFERENTIATION_VTAR,MATCH(A184,PT_DIFFERENTIATION_VTAR_ID,0))</f>
        <v>Тариф на подвоз воды</v>
      </c>
      <c r="G184" s="2353" t="str">
        <f>INDEX(PT_DIFFERENTIATION_NTAR,MATCH(B184,PT_DIFFERENTIATION_NTAR_ID,0))</f>
        <v/>
      </c>
      <c r="H184" s="1788"/>
      <c r="I184" s="1666"/>
      <c r="J184" s="1700"/>
      <c r="K184" s="1705"/>
      <c r="L184" s="1788" t="s">
        <v>308</v>
      </c>
      <c r="M184" s="278"/>
      <c r="N184" s="271"/>
      <c r="O184" s="1551"/>
      <c r="P184" s="1551"/>
      <c r="AH184" s="1558">
        <v>0</v>
      </c>
    </row>
    <row r="185" spans="1:34" s="1562" customFormat="1" ht="18.75" hidden="1" customHeight="1">
      <c r="A185" s="1707"/>
      <c r="B185" s="1707"/>
      <c r="C185" s="306" t="s">
        <v>1149</v>
      </c>
      <c r="D185" s="2378"/>
      <c r="E185" s="2175"/>
      <c r="F185" s="2313"/>
      <c r="G185" s="2353"/>
      <c r="H185" s="1427"/>
      <c r="I185" s="588" t="s">
        <v>1148</v>
      </c>
      <c r="J185" s="508"/>
      <c r="K185" s="1427"/>
      <c r="L185" s="151"/>
      <c r="M185" s="278"/>
      <c r="N185" s="271"/>
      <c r="O185" s="1551"/>
      <c r="P185" s="1551"/>
      <c r="AH185" s="1558">
        <v>0</v>
      </c>
    </row>
    <row r="186" spans="1:34" s="1562" customFormat="1" ht="0.75" hidden="1" customHeight="1">
      <c r="A186" s="1707"/>
      <c r="B186" s="1707"/>
      <c r="C186" s="306" t="s">
        <v>1156</v>
      </c>
      <c r="D186" s="2378"/>
      <c r="E186" s="2175"/>
      <c r="F186" s="2313"/>
      <c r="G186" s="337"/>
      <c r="H186" s="1427"/>
      <c r="I186" s="588"/>
      <c r="J186" s="508"/>
      <c r="K186" s="1427"/>
      <c r="L186" s="151"/>
      <c r="M186" s="278"/>
      <c r="N186" s="271"/>
      <c r="O186" s="1551"/>
      <c r="P186" s="1551"/>
      <c r="AH186" s="1558">
        <v>0</v>
      </c>
    </row>
    <row r="187" spans="1:34" s="1562" customFormat="1" ht="18.75" hidden="1" customHeight="1">
      <c r="A187" s="1707" t="s">
        <v>247</v>
      </c>
      <c r="B187" s="1707" t="s">
        <v>248</v>
      </c>
      <c r="C187" s="306"/>
      <c r="D187" s="2378"/>
      <c r="E187" s="2175"/>
      <c r="F187" s="231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3" t="str">
        <f>INDEX(PT_DIFFERENTIATION_NTAR,MATCH(B187,PT_DIFFERENTIATION_NTAR_ID,0))</f>
        <v/>
      </c>
      <c r="H187" s="1788"/>
      <c r="I187" s="1666"/>
      <c r="J187" s="1700"/>
      <c r="K187" s="1705"/>
      <c r="L187" s="1788" t="s">
        <v>308</v>
      </c>
      <c r="M187" s="278"/>
      <c r="N187" s="271"/>
      <c r="O187" s="1551"/>
      <c r="P187" s="1551"/>
      <c r="AH187" s="1558">
        <v>0</v>
      </c>
    </row>
    <row r="188" spans="1:34" s="1562" customFormat="1" ht="18.75" hidden="1" customHeight="1">
      <c r="A188" s="1707"/>
      <c r="B188" s="1707"/>
      <c r="C188" s="306" t="s">
        <v>1149</v>
      </c>
      <c r="D188" s="2378"/>
      <c r="E188" s="2175"/>
      <c r="F188" s="2313"/>
      <c r="G188" s="2353"/>
      <c r="H188" s="1427"/>
      <c r="I188" s="588" t="s">
        <v>1148</v>
      </c>
      <c r="J188" s="508"/>
      <c r="K188" s="1427"/>
      <c r="L188" s="151"/>
      <c r="M188" s="278"/>
      <c r="N188" s="271"/>
      <c r="O188" s="1551"/>
      <c r="P188" s="1551"/>
      <c r="AH188" s="1558">
        <v>0</v>
      </c>
    </row>
    <row r="189" spans="1:34" s="1562" customFormat="1" ht="0.75" hidden="1" customHeight="1">
      <c r="A189" s="1707"/>
      <c r="B189" s="1707"/>
      <c r="C189" s="306" t="s">
        <v>1156</v>
      </c>
      <c r="D189" s="2378"/>
      <c r="E189" s="2175"/>
      <c r="F189" s="2313"/>
      <c r="G189" s="337"/>
      <c r="H189" s="1427"/>
      <c r="I189" s="588"/>
      <c r="J189" s="508"/>
      <c r="K189" s="1427"/>
      <c r="L189" s="151"/>
      <c r="M189" s="278"/>
      <c r="N189" s="271"/>
      <c r="O189" s="1551"/>
      <c r="P189" s="1551"/>
      <c r="AH189" s="1558">
        <v>0</v>
      </c>
    </row>
    <row r="190" spans="1:34" s="1562" customFormat="1" ht="18.75" hidden="1" customHeight="1">
      <c r="A190" s="1707" t="s">
        <v>252</v>
      </c>
      <c r="B190" s="1707" t="s">
        <v>253</v>
      </c>
      <c r="C190" s="306"/>
      <c r="D190" s="2378"/>
      <c r="E190" s="2175"/>
      <c r="F190" s="2313" t="str">
        <f>INDEX(PT_DIFFERENTIATION_VTAR,MATCH(A190,PT_DIFFERENTIATION_VTAR_ID,0))</f>
        <v>Тариф на горячую воду (горячее водоснабжение)</v>
      </c>
      <c r="G190" s="2353" t="str">
        <f>INDEX(PT_DIFFERENTIATION_NTAR,MATCH(B190,PT_DIFFERENTIATION_NTAR_ID,0))</f>
        <v/>
      </c>
      <c r="H190" s="1788"/>
      <c r="I190" s="1666"/>
      <c r="J190" s="1700"/>
      <c r="K190" s="1705"/>
      <c r="L190" s="1788" t="s">
        <v>308</v>
      </c>
      <c r="M190" s="278"/>
      <c r="N190" s="271"/>
      <c r="O190" s="1551"/>
      <c r="P190" s="1551"/>
      <c r="AH190" s="1558">
        <v>0</v>
      </c>
    </row>
    <row r="191" spans="1:34" s="1562" customFormat="1" ht="18.75" hidden="1" customHeight="1">
      <c r="A191" s="1707"/>
      <c r="B191" s="1707"/>
      <c r="C191" s="306" t="s">
        <v>1149</v>
      </c>
      <c r="D191" s="2378"/>
      <c r="E191" s="2175"/>
      <c r="F191" s="2313"/>
      <c r="G191" s="2353"/>
      <c r="H191" s="1427"/>
      <c r="I191" s="588" t="s">
        <v>1148</v>
      </c>
      <c r="J191" s="508"/>
      <c r="K191" s="1427"/>
      <c r="L191" s="151"/>
      <c r="M191" s="278"/>
      <c r="N191" s="271"/>
      <c r="O191" s="1551"/>
      <c r="P191" s="1551"/>
      <c r="AH191" s="1558">
        <v>0</v>
      </c>
    </row>
    <row r="192" spans="1:34" s="1562" customFormat="1" ht="0.75" hidden="1" customHeight="1">
      <c r="A192" s="1707"/>
      <c r="B192" s="1707"/>
      <c r="C192" s="306" t="s">
        <v>1156</v>
      </c>
      <c r="D192" s="2378"/>
      <c r="E192" s="2175"/>
      <c r="F192" s="2313"/>
      <c r="G192" s="337"/>
      <c r="H192" s="1427"/>
      <c r="I192" s="588"/>
      <c r="J192" s="508"/>
      <c r="K192" s="1427"/>
      <c r="L192" s="151"/>
      <c r="M192" s="278"/>
      <c r="N192" s="271"/>
      <c r="O192" s="1551"/>
      <c r="P192" s="1551"/>
      <c r="AH192" s="1558">
        <v>0</v>
      </c>
    </row>
    <row r="193" spans="1:34" s="1562" customFormat="1" ht="18.75" hidden="1" customHeight="1">
      <c r="A193" s="1707" t="s">
        <v>257</v>
      </c>
      <c r="B193" s="1707" t="s">
        <v>258</v>
      </c>
      <c r="C193" s="306"/>
      <c r="D193" s="2378"/>
      <c r="E193" s="2175"/>
      <c r="F193" s="2313" t="str">
        <f>INDEX(PT_DIFFERENTIATION_VTAR,MATCH(A193,PT_DIFFERENTIATION_VTAR_ID,0))</f>
        <v>Тариф на транспортировку горячей воды</v>
      </c>
      <c r="G193" s="2353" t="str">
        <f>INDEX(PT_DIFFERENTIATION_NTAR,MATCH(B193,PT_DIFFERENTIATION_NTAR_ID,0))</f>
        <v/>
      </c>
      <c r="H193" s="1788"/>
      <c r="I193" s="1666"/>
      <c r="J193" s="1700"/>
      <c r="K193" s="1705"/>
      <c r="L193" s="1788" t="s">
        <v>308</v>
      </c>
      <c r="M193" s="278"/>
      <c r="N193" s="271"/>
      <c r="O193" s="1551"/>
      <c r="P193" s="1551"/>
      <c r="AH193" s="1558">
        <v>0</v>
      </c>
    </row>
    <row r="194" spans="1:34" s="1562" customFormat="1" ht="18.75" hidden="1" customHeight="1">
      <c r="A194" s="1707"/>
      <c r="B194" s="1707"/>
      <c r="C194" s="306" t="s">
        <v>1149</v>
      </c>
      <c r="D194" s="2378"/>
      <c r="E194" s="2175"/>
      <c r="F194" s="2313"/>
      <c r="G194" s="2353"/>
      <c r="H194" s="1427"/>
      <c r="I194" s="588" t="s">
        <v>1148</v>
      </c>
      <c r="J194" s="508"/>
      <c r="K194" s="1427"/>
      <c r="L194" s="151"/>
      <c r="M194" s="278"/>
      <c r="N194" s="271"/>
      <c r="O194" s="1551"/>
      <c r="P194" s="1551"/>
      <c r="AH194" s="1558">
        <v>0</v>
      </c>
    </row>
    <row r="195" spans="1:34" s="1562" customFormat="1" ht="0.75" hidden="1" customHeight="1">
      <c r="A195" s="1707"/>
      <c r="B195" s="1707"/>
      <c r="C195" s="306" t="s">
        <v>1156</v>
      </c>
      <c r="D195" s="2378"/>
      <c r="E195" s="2175"/>
      <c r="F195" s="2313"/>
      <c r="G195" s="337"/>
      <c r="H195" s="1427"/>
      <c r="I195" s="588"/>
      <c r="J195" s="508"/>
      <c r="K195" s="1427"/>
      <c r="L195" s="151"/>
      <c r="M195" s="278"/>
      <c r="N195" s="271"/>
      <c r="O195" s="1551"/>
      <c r="P195" s="1551"/>
      <c r="AH195" s="1558">
        <v>0</v>
      </c>
    </row>
    <row r="196" spans="1:34" s="1562" customFormat="1" ht="18.75" hidden="1" customHeight="1">
      <c r="A196" s="1707" t="s">
        <v>262</v>
      </c>
      <c r="B196" s="1707" t="s">
        <v>263</v>
      </c>
      <c r="C196" s="306"/>
      <c r="D196" s="2378"/>
      <c r="E196" s="2175"/>
      <c r="F196" s="231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3" t="str">
        <f>INDEX(PT_DIFFERENTIATION_NTAR,MATCH(B196,PT_DIFFERENTIATION_NTAR_ID,0))</f>
        <v/>
      </c>
      <c r="H196" s="1788"/>
      <c r="I196" s="1666"/>
      <c r="J196" s="1700"/>
      <c r="K196" s="1705"/>
      <c r="L196" s="1788" t="s">
        <v>308</v>
      </c>
      <c r="M196" s="278"/>
      <c r="N196" s="271"/>
      <c r="O196" s="1551"/>
      <c r="P196" s="1551"/>
      <c r="AH196" s="1558">
        <v>0</v>
      </c>
    </row>
    <row r="197" spans="1:34" s="1562" customFormat="1" ht="18.75" hidden="1" customHeight="1">
      <c r="A197" s="1707"/>
      <c r="B197" s="1707"/>
      <c r="C197" s="306" t="s">
        <v>1149</v>
      </c>
      <c r="D197" s="2378"/>
      <c r="E197" s="2175"/>
      <c r="F197" s="2313"/>
      <c r="G197" s="2353"/>
      <c r="H197" s="1427"/>
      <c r="I197" s="588" t="s">
        <v>1148</v>
      </c>
      <c r="J197" s="508"/>
      <c r="K197" s="1427"/>
      <c r="L197" s="151"/>
      <c r="M197" s="278"/>
      <c r="N197" s="271"/>
      <c r="O197" s="1551"/>
      <c r="P197" s="1551"/>
      <c r="AH197" s="1558">
        <v>0</v>
      </c>
    </row>
    <row r="198" spans="1:34" s="1562" customFormat="1" ht="0.75" hidden="1" customHeight="1">
      <c r="A198" s="1707"/>
      <c r="B198" s="1707"/>
      <c r="C198" s="306" t="s">
        <v>1156</v>
      </c>
      <c r="D198" s="2378"/>
      <c r="E198" s="2175"/>
      <c r="F198" s="2313"/>
      <c r="G198" s="337"/>
      <c r="H198" s="1427"/>
      <c r="I198" s="588"/>
      <c r="J198" s="508"/>
      <c r="K198" s="1427"/>
      <c r="L198" s="151"/>
      <c r="M198" s="278"/>
      <c r="N198" s="271"/>
      <c r="O198" s="1551"/>
      <c r="P198" s="1551"/>
      <c r="AH198" s="1558">
        <v>0</v>
      </c>
    </row>
    <row r="199" spans="1:34" s="1562" customFormat="1" ht="18.75" hidden="1" customHeight="1">
      <c r="A199" s="1707" t="s">
        <v>267</v>
      </c>
      <c r="B199" s="1707" t="s">
        <v>268</v>
      </c>
      <c r="C199" s="306"/>
      <c r="D199" s="2378"/>
      <c r="E199" s="2175"/>
      <c r="F199" s="2313" t="str">
        <f>INDEX(PT_DIFFERENTIATION_VTAR,MATCH(A199,PT_DIFFERENTIATION_VTAR_ID,0))</f>
        <v>Тариф на водоотведение</v>
      </c>
      <c r="G199" s="2353" t="str">
        <f>INDEX(PT_DIFFERENTIATION_NTAR,MATCH(B199,PT_DIFFERENTIATION_NTAR_ID,0))</f>
        <v/>
      </c>
      <c r="H199" s="1788"/>
      <c r="I199" s="1666"/>
      <c r="J199" s="1700"/>
      <c r="K199" s="1705"/>
      <c r="L199" s="1788" t="s">
        <v>308</v>
      </c>
      <c r="M199" s="278"/>
      <c r="N199" s="271"/>
      <c r="O199" s="1551"/>
      <c r="P199" s="1551"/>
      <c r="AH199" s="1558">
        <v>0</v>
      </c>
    </row>
    <row r="200" spans="1:34" s="1562" customFormat="1" ht="18.75" hidden="1" customHeight="1">
      <c r="A200" s="1707"/>
      <c r="B200" s="1707"/>
      <c r="C200" s="306" t="s">
        <v>1149</v>
      </c>
      <c r="D200" s="2378"/>
      <c r="E200" s="2175"/>
      <c r="F200" s="2313"/>
      <c r="G200" s="2353"/>
      <c r="H200" s="1427"/>
      <c r="I200" s="588" t="s">
        <v>1148</v>
      </c>
      <c r="J200" s="508"/>
      <c r="K200" s="1427"/>
      <c r="L200" s="151"/>
      <c r="M200" s="278"/>
      <c r="N200" s="271"/>
      <c r="O200" s="1551"/>
      <c r="P200" s="1551"/>
      <c r="AH200" s="1558">
        <v>0</v>
      </c>
    </row>
    <row r="201" spans="1:34" s="1562" customFormat="1" ht="0.75" hidden="1" customHeight="1">
      <c r="A201" s="1707"/>
      <c r="B201" s="1707"/>
      <c r="C201" s="306" t="s">
        <v>1156</v>
      </c>
      <c r="D201" s="2378"/>
      <c r="E201" s="2175"/>
      <c r="F201" s="2313"/>
      <c r="G201" s="337"/>
      <c r="H201" s="1427"/>
      <c r="I201" s="588"/>
      <c r="J201" s="508"/>
      <c r="K201" s="1427"/>
      <c r="L201" s="151"/>
      <c r="M201" s="278"/>
      <c r="N201" s="271"/>
      <c r="O201" s="1551"/>
      <c r="P201" s="1551"/>
      <c r="AH201" s="1558">
        <v>0</v>
      </c>
    </row>
    <row r="202" spans="1:34" s="1562" customFormat="1" ht="18.75" hidden="1" customHeight="1">
      <c r="A202" s="1707" t="s">
        <v>272</v>
      </c>
      <c r="B202" s="1707" t="s">
        <v>273</v>
      </c>
      <c r="C202" s="306"/>
      <c r="D202" s="2378"/>
      <c r="E202" s="2175"/>
      <c r="F202" s="2313" t="str">
        <f>INDEX(PT_DIFFERENTIATION_VTAR,MATCH(A202,PT_DIFFERENTIATION_VTAR_ID,0))</f>
        <v>Тариф на транспортировку сточных вод</v>
      </c>
      <c r="G202" s="2353" t="str">
        <f>INDEX(PT_DIFFERENTIATION_NTAR,MATCH(B202,PT_DIFFERENTIATION_NTAR_ID,0))</f>
        <v/>
      </c>
      <c r="H202" s="1788"/>
      <c r="I202" s="1666"/>
      <c r="J202" s="1700"/>
      <c r="K202" s="1705"/>
      <c r="L202" s="1788" t="s">
        <v>308</v>
      </c>
      <c r="M202" s="278"/>
      <c r="N202" s="271"/>
      <c r="O202" s="1551"/>
      <c r="P202" s="1551"/>
      <c r="AH202" s="1558">
        <v>0</v>
      </c>
    </row>
    <row r="203" spans="1:34" s="1562" customFormat="1" ht="18.75" hidden="1" customHeight="1">
      <c r="A203" s="1707"/>
      <c r="B203" s="1707"/>
      <c r="C203" s="306" t="s">
        <v>1149</v>
      </c>
      <c r="D203" s="2378"/>
      <c r="E203" s="2175"/>
      <c r="F203" s="2313"/>
      <c r="G203" s="2353"/>
      <c r="H203" s="1427"/>
      <c r="I203" s="588" t="s">
        <v>1148</v>
      </c>
      <c r="J203" s="508"/>
      <c r="K203" s="1427"/>
      <c r="L203" s="151"/>
      <c r="M203" s="278"/>
      <c r="N203" s="271"/>
      <c r="O203" s="1551"/>
      <c r="P203" s="1551"/>
      <c r="AH203" s="1558">
        <v>0</v>
      </c>
    </row>
    <row r="204" spans="1:34" s="1562" customFormat="1" ht="0.75" hidden="1" customHeight="1">
      <c r="A204" s="1707"/>
      <c r="B204" s="1707"/>
      <c r="C204" s="306" t="s">
        <v>1156</v>
      </c>
      <c r="D204" s="2378"/>
      <c r="E204" s="2175"/>
      <c r="F204" s="2313"/>
      <c r="G204" s="337"/>
      <c r="H204" s="1427"/>
      <c r="I204" s="588"/>
      <c r="J204" s="508"/>
      <c r="K204" s="1427"/>
      <c r="L204" s="151"/>
      <c r="M204" s="278"/>
      <c r="N204" s="271"/>
      <c r="O204" s="1551"/>
      <c r="P204" s="1551"/>
      <c r="AH204" s="1558">
        <v>0</v>
      </c>
    </row>
    <row r="205" spans="1:34" s="1562" customFormat="1" ht="18.75" hidden="1" customHeight="1">
      <c r="A205" s="1707" t="s">
        <v>277</v>
      </c>
      <c r="B205" s="1707" t="s">
        <v>278</v>
      </c>
      <c r="C205" s="306"/>
      <c r="D205" s="2378"/>
      <c r="E205" s="2175"/>
      <c r="F205" s="2313" t="str">
        <f>INDEX(PT_DIFFERENTIATION_VTAR,MATCH(A205,PT_DIFFERENTIATION_VTAR_ID,0))</f>
        <v>Тариф на подключение (технологическое присоединение) к централизованной системе водоотведения</v>
      </c>
      <c r="G205" s="2353" t="str">
        <f>INDEX(PT_DIFFERENTIATION_NTAR,MATCH(B205,PT_DIFFERENTIATION_NTAR_ID,0))</f>
        <v/>
      </c>
      <c r="H205" s="1788"/>
      <c r="I205" s="1666"/>
      <c r="J205" s="1700"/>
      <c r="K205" s="1705"/>
      <c r="L205" s="1788" t="s">
        <v>308</v>
      </c>
      <c r="M205" s="278"/>
      <c r="N205" s="271"/>
      <c r="O205" s="1551"/>
      <c r="P205" s="1551"/>
      <c r="AH205" s="1558">
        <v>0</v>
      </c>
    </row>
    <row r="206" spans="1:34" s="1562" customFormat="1" ht="18.75" hidden="1" customHeight="1">
      <c r="A206" s="1707"/>
      <c r="B206" s="1707"/>
      <c r="C206" s="306" t="s">
        <v>1149</v>
      </c>
      <c r="D206" s="2378"/>
      <c r="E206" s="2175"/>
      <c r="F206" s="2313"/>
      <c r="G206" s="2353"/>
      <c r="H206" s="1427"/>
      <c r="I206" s="588" t="s">
        <v>1148</v>
      </c>
      <c r="J206" s="508"/>
      <c r="K206" s="1427"/>
      <c r="L206" s="151"/>
      <c r="M206" s="278"/>
      <c r="N206" s="271"/>
      <c r="O206" s="1551"/>
      <c r="P206" s="1551"/>
      <c r="AH206" s="1558">
        <v>0</v>
      </c>
    </row>
    <row r="207" spans="1:34" s="1562" customFormat="1" ht="1.1499999999999999" customHeight="1">
      <c r="A207" s="1707"/>
      <c r="B207" s="1707"/>
      <c r="C207" s="306" t="s">
        <v>1156</v>
      </c>
      <c r="D207" s="2378"/>
      <c r="E207" s="2175"/>
      <c r="F207" s="2313"/>
      <c r="G207" s="337"/>
      <c r="H207" s="1427"/>
      <c r="I207" s="588"/>
      <c r="J207" s="508"/>
      <c r="K207" s="1427"/>
      <c r="L207" s="151"/>
      <c r="M207" s="278"/>
      <c r="N207" s="271"/>
      <c r="O207" s="1551"/>
      <c r="P207" s="1551"/>
      <c r="AH207" s="1558">
        <v>1</v>
      </c>
    </row>
    <row r="208" spans="1:34" ht="27.4" customHeight="1">
      <c r="A208" s="1707"/>
      <c r="B208" s="1707"/>
      <c r="D208" s="313"/>
      <c r="E208" s="84" t="s">
        <v>110</v>
      </c>
      <c r="F208" s="237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77"/>
      <c r="H208" s="2377"/>
      <c r="I208" s="2377"/>
      <c r="J208" s="2377"/>
      <c r="K208" s="2377"/>
      <c r="L208" s="2377"/>
      <c r="M208" s="234"/>
      <c r="N208" s="271"/>
      <c r="AH208" s="311">
        <v>26</v>
      </c>
    </row>
    <row r="209" spans="1:34" s="1562" customFormat="1" ht="60.75" hidden="1" customHeight="1">
      <c r="A209" s="1707" t="s">
        <v>159</v>
      </c>
      <c r="B209" s="1707" t="s">
        <v>160</v>
      </c>
      <c r="C209" s="306"/>
      <c r="D209" s="2378"/>
      <c r="E209" s="2175"/>
      <c r="F209" s="231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3" t="str">
        <f>INDEX(PT_DIFFERENTIATION_NTAR,MATCH(B209,PT_DIFFERENTIATION_NTAR_ID,0))</f>
        <v/>
      </c>
      <c r="H209" s="1788"/>
      <c r="I209" s="1666"/>
      <c r="J209" s="1700"/>
      <c r="K209" s="1705"/>
      <c r="L209" s="1788" t="s">
        <v>308</v>
      </c>
      <c r="M209" s="21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1149</v>
      </c>
      <c r="D210" s="2378"/>
      <c r="E210" s="2175"/>
      <c r="F210" s="2313"/>
      <c r="G210" s="2353"/>
      <c r="H210" s="1427"/>
      <c r="I210" s="588" t="s">
        <v>1148</v>
      </c>
      <c r="J210" s="508"/>
      <c r="K210" s="1427"/>
      <c r="L210" s="151"/>
      <c r="M210" s="2136"/>
      <c r="N210" s="271"/>
      <c r="O210" s="1551"/>
      <c r="P210" s="1551"/>
      <c r="AH210" s="1558">
        <v>0</v>
      </c>
    </row>
    <row r="211" spans="1:34" s="1562" customFormat="1" ht="0.75" hidden="1" customHeight="1">
      <c r="A211" s="1707"/>
      <c r="B211" s="1707"/>
      <c r="C211" s="306" t="s">
        <v>1156</v>
      </c>
      <c r="D211" s="2378"/>
      <c r="E211" s="2175"/>
      <c r="F211" s="2313"/>
      <c r="G211" s="337"/>
      <c r="H211" s="1427"/>
      <c r="I211" s="588"/>
      <c r="J211" s="508"/>
      <c r="K211" s="1427"/>
      <c r="L211" s="151"/>
      <c r="M211" s="2136"/>
      <c r="N211" s="271"/>
      <c r="O211" s="1551"/>
      <c r="P211" s="1551"/>
      <c r="AH211" s="1558">
        <v>0</v>
      </c>
    </row>
    <row r="212" spans="1:34" s="1562" customFormat="1" ht="45" hidden="1" customHeight="1">
      <c r="A212" s="1707" t="s">
        <v>164</v>
      </c>
      <c r="B212" s="1707" t="s">
        <v>165</v>
      </c>
      <c r="C212" s="306"/>
      <c r="D212" s="2378"/>
      <c r="E212" s="2175"/>
      <c r="F212" s="2313" t="str">
        <f>INDEX(PT_DIFFERENTIATION_VTAR,MATCH(A212,PT_DIFFERENTIATION_VTAR_ID,0))</f>
        <v/>
      </c>
      <c r="G212" s="2353" t="str">
        <f>INDEX(PT_DIFFERENTIATION_NTAR,MATCH(B212,PT_DIFFERENTIATION_NTAR_ID,0))</f>
        <v/>
      </c>
      <c r="H212" s="1788"/>
      <c r="I212" s="1666"/>
      <c r="J212" s="1700"/>
      <c r="K212" s="1705"/>
      <c r="L212" s="1788" t="s">
        <v>308</v>
      </c>
      <c r="M212" s="2137"/>
      <c r="N212" s="271"/>
      <c r="O212" s="1551"/>
      <c r="P212" s="1551"/>
      <c r="AH212" s="1558">
        <v>0</v>
      </c>
    </row>
    <row r="213" spans="1:34" s="1562" customFormat="1" ht="18.75" hidden="1" customHeight="1">
      <c r="A213" s="1707"/>
      <c r="B213" s="1707"/>
      <c r="C213" s="306" t="s">
        <v>1149</v>
      </c>
      <c r="D213" s="2378"/>
      <c r="E213" s="2175"/>
      <c r="F213" s="2313"/>
      <c r="G213" s="2353"/>
      <c r="H213" s="1427"/>
      <c r="I213" s="588" t="s">
        <v>1148</v>
      </c>
      <c r="J213" s="508"/>
      <c r="K213" s="1427"/>
      <c r="L213" s="151"/>
      <c r="M213" s="1787"/>
      <c r="N213" s="271"/>
      <c r="O213" s="1551"/>
      <c r="P213" s="1551"/>
      <c r="AH213" s="1558">
        <v>0</v>
      </c>
    </row>
    <row r="214" spans="1:34" s="1562" customFormat="1" ht="0.75" hidden="1" customHeight="1">
      <c r="A214" s="1707"/>
      <c r="B214" s="1707"/>
      <c r="C214" s="306" t="s">
        <v>1156</v>
      </c>
      <c r="D214" s="2378"/>
      <c r="E214" s="2175"/>
      <c r="F214" s="2313"/>
      <c r="G214" s="337"/>
      <c r="H214" s="1427"/>
      <c r="I214" s="588"/>
      <c r="J214" s="508"/>
      <c r="K214" s="1427"/>
      <c r="L214" s="151"/>
      <c r="M214" s="278"/>
      <c r="N214" s="271"/>
      <c r="O214" s="1551"/>
      <c r="P214" s="1551"/>
      <c r="AH214" s="1558">
        <v>0</v>
      </c>
    </row>
    <row r="215" spans="1:34" s="1562" customFormat="1" ht="45" hidden="1" customHeight="1">
      <c r="A215" s="1707" t="s">
        <v>171</v>
      </c>
      <c r="B215" s="1707" t="s">
        <v>172</v>
      </c>
      <c r="C215" s="306"/>
      <c r="D215" s="2378"/>
      <c r="E215" s="2175"/>
      <c r="F215" s="231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3" t="str">
        <f>INDEX(PT_DIFFERENTIATION_NTAR,MATCH(B215,PT_DIFFERENTIATION_NTAR_ID,0))</f>
        <v/>
      </c>
      <c r="H215" s="1788"/>
      <c r="I215" s="1666"/>
      <c r="J215" s="1700"/>
      <c r="K215" s="1705"/>
      <c r="L215" s="1788" t="s">
        <v>308</v>
      </c>
      <c r="M215" s="278"/>
      <c r="N215" s="271"/>
      <c r="O215" s="1551"/>
      <c r="P215" s="1551"/>
      <c r="AH215" s="1558">
        <v>0</v>
      </c>
    </row>
    <row r="216" spans="1:34" s="1562" customFormat="1" ht="18.75" hidden="1" customHeight="1">
      <c r="A216" s="1707"/>
      <c r="B216" s="1707"/>
      <c r="C216" s="306" t="s">
        <v>1149</v>
      </c>
      <c r="D216" s="2378"/>
      <c r="E216" s="2175"/>
      <c r="F216" s="2313"/>
      <c r="G216" s="2353"/>
      <c r="H216" s="1427"/>
      <c r="I216" s="588" t="s">
        <v>1148</v>
      </c>
      <c r="J216" s="508"/>
      <c r="K216" s="1427"/>
      <c r="L216" s="151"/>
      <c r="M216" s="278"/>
      <c r="N216" s="271"/>
      <c r="O216" s="1551"/>
      <c r="P216" s="1551"/>
      <c r="AH216" s="1558">
        <v>0</v>
      </c>
    </row>
    <row r="217" spans="1:34" s="1562" customFormat="1" ht="0.75" hidden="1" customHeight="1">
      <c r="A217" s="1707"/>
      <c r="B217" s="1707"/>
      <c r="C217" s="306" t="s">
        <v>1156</v>
      </c>
      <c r="D217" s="2378"/>
      <c r="E217" s="2175"/>
      <c r="F217" s="2313"/>
      <c r="G217" s="337"/>
      <c r="H217" s="1427"/>
      <c r="I217" s="588"/>
      <c r="J217" s="508"/>
      <c r="K217" s="1427"/>
      <c r="L217" s="151"/>
      <c r="M217" s="278"/>
      <c r="N217" s="271"/>
      <c r="O217" s="1551"/>
      <c r="P217" s="1551"/>
      <c r="AH217" s="1558">
        <v>0</v>
      </c>
    </row>
    <row r="218" spans="1:34" s="1562" customFormat="1" ht="45" hidden="1" customHeight="1">
      <c r="A218" s="1707" t="s">
        <v>177</v>
      </c>
      <c r="B218" s="1707" t="s">
        <v>178</v>
      </c>
      <c r="C218" s="306"/>
      <c r="D218" s="2378"/>
      <c r="E218" s="2175"/>
      <c r="F218" s="231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3" t="str">
        <f>INDEX(PT_DIFFERENTIATION_NTAR,MATCH(B218,PT_DIFFERENTIATION_NTAR_ID,0))</f>
        <v/>
      </c>
      <c r="H218" s="1788"/>
      <c r="I218" s="1666"/>
      <c r="J218" s="1700"/>
      <c r="K218" s="1705"/>
      <c r="L218" s="1788" t="s">
        <v>308</v>
      </c>
      <c r="M218" s="278"/>
      <c r="N218" s="271"/>
      <c r="O218" s="1551"/>
      <c r="P218" s="1551"/>
      <c r="AH218" s="1558">
        <v>0</v>
      </c>
    </row>
    <row r="219" spans="1:34" s="1562" customFormat="1" ht="18.75" hidden="1" customHeight="1">
      <c r="A219" s="1707"/>
      <c r="B219" s="1707"/>
      <c r="C219" s="306" t="s">
        <v>1149</v>
      </c>
      <c r="D219" s="2378"/>
      <c r="E219" s="2175"/>
      <c r="F219" s="2313"/>
      <c r="G219" s="2353"/>
      <c r="H219" s="1427"/>
      <c r="I219" s="588" t="s">
        <v>1148</v>
      </c>
      <c r="J219" s="508"/>
      <c r="K219" s="1427"/>
      <c r="L219" s="151"/>
      <c r="M219" s="278"/>
      <c r="N219" s="271"/>
      <c r="O219" s="1551"/>
      <c r="P219" s="1551"/>
      <c r="AH219" s="1558">
        <v>0</v>
      </c>
    </row>
    <row r="220" spans="1:34" s="1562" customFormat="1" ht="0.75" hidden="1" customHeight="1">
      <c r="A220" s="1707"/>
      <c r="B220" s="1707"/>
      <c r="C220" s="306" t="s">
        <v>1156</v>
      </c>
      <c r="D220" s="2378"/>
      <c r="E220" s="2175"/>
      <c r="F220" s="2313"/>
      <c r="G220" s="337"/>
      <c r="H220" s="1427"/>
      <c r="I220" s="588"/>
      <c r="J220" s="508"/>
      <c r="K220" s="1427"/>
      <c r="L220" s="151"/>
      <c r="M220" s="278"/>
      <c r="N220" s="271"/>
      <c r="O220" s="1551"/>
      <c r="P220" s="1551"/>
      <c r="AH220" s="1558">
        <v>0</v>
      </c>
    </row>
    <row r="221" spans="1:34" s="1562" customFormat="1" ht="18.75" hidden="1" customHeight="1">
      <c r="A221" s="1707" t="s">
        <v>183</v>
      </c>
      <c r="B221" s="1707" t="s">
        <v>184</v>
      </c>
      <c r="C221" s="306"/>
      <c r="D221" s="2378"/>
      <c r="E221" s="2175"/>
      <c r="F221" s="2313" t="str">
        <f>INDEX(PT_DIFFERENTIATION_VTAR,MATCH(A221,PT_DIFFERENTIATION_VTAR_ID,0))</f>
        <v>Тарифы на услуги по передаче тепловой энергии</v>
      </c>
      <c r="G221" s="2353" t="str">
        <f>INDEX(PT_DIFFERENTIATION_NTAR,MATCH(B221,PT_DIFFERENTIATION_NTAR_ID,0))</f>
        <v/>
      </c>
      <c r="H221" s="1788"/>
      <c r="I221" s="1666"/>
      <c r="J221" s="1700"/>
      <c r="K221" s="1705"/>
      <c r="L221" s="1788" t="s">
        <v>308</v>
      </c>
      <c r="M221" s="278"/>
      <c r="N221" s="271"/>
      <c r="O221" s="1551"/>
      <c r="P221" s="1551"/>
      <c r="AH221" s="1558">
        <v>0</v>
      </c>
    </row>
    <row r="222" spans="1:34" s="1562" customFormat="1" ht="18.75" hidden="1" customHeight="1">
      <c r="A222" s="1707"/>
      <c r="B222" s="1707"/>
      <c r="C222" s="306" t="s">
        <v>1149</v>
      </c>
      <c r="D222" s="2378"/>
      <c r="E222" s="2175"/>
      <c r="F222" s="2313"/>
      <c r="G222" s="2353"/>
      <c r="H222" s="1427"/>
      <c r="I222" s="588" t="s">
        <v>1148</v>
      </c>
      <c r="J222" s="508"/>
      <c r="K222" s="1427"/>
      <c r="L222" s="151"/>
      <c r="M222" s="278"/>
      <c r="N222" s="271"/>
      <c r="O222" s="1551"/>
      <c r="P222" s="1551"/>
      <c r="AH222" s="1558">
        <v>0</v>
      </c>
    </row>
    <row r="223" spans="1:34" s="1562" customFormat="1" ht="0.75" hidden="1" customHeight="1">
      <c r="A223" s="1707"/>
      <c r="B223" s="1707"/>
      <c r="C223" s="306" t="s">
        <v>1156</v>
      </c>
      <c r="D223" s="2378"/>
      <c r="E223" s="2175"/>
      <c r="F223" s="2313"/>
      <c r="G223" s="337"/>
      <c r="H223" s="1427"/>
      <c r="I223" s="588"/>
      <c r="J223" s="508"/>
      <c r="K223" s="1427"/>
      <c r="L223" s="151"/>
      <c r="M223" s="278"/>
      <c r="N223" s="271"/>
      <c r="O223" s="1551"/>
      <c r="P223" s="1551"/>
      <c r="AH223" s="1558">
        <v>0</v>
      </c>
    </row>
    <row r="224" spans="1:34" s="1562" customFormat="1" ht="18.75" hidden="1" customHeight="1">
      <c r="A224" s="1707" t="s">
        <v>189</v>
      </c>
      <c r="B224" s="1707" t="s">
        <v>190</v>
      </c>
      <c r="C224" s="306"/>
      <c r="D224" s="2378"/>
      <c r="E224" s="2175"/>
      <c r="F224" s="2313" t="str">
        <f>INDEX(PT_DIFFERENTIATION_VTAR,MATCH(A224,PT_DIFFERENTIATION_VTAR_ID,0))</f>
        <v>Тарифы на услуги по передаче теплоносителя</v>
      </c>
      <c r="G224" s="2353" t="str">
        <f>INDEX(PT_DIFFERENTIATION_NTAR,MATCH(B224,PT_DIFFERENTIATION_NTAR_ID,0))</f>
        <v/>
      </c>
      <c r="H224" s="1788"/>
      <c r="I224" s="1666"/>
      <c r="J224" s="1700"/>
      <c r="K224" s="1705"/>
      <c r="L224" s="1788" t="s">
        <v>308</v>
      </c>
      <c r="M224" s="278"/>
      <c r="N224" s="271"/>
      <c r="O224" s="1551"/>
      <c r="P224" s="1551"/>
      <c r="AH224" s="1558">
        <v>0</v>
      </c>
    </row>
    <row r="225" spans="1:34" s="1562" customFormat="1" ht="18.75" hidden="1" customHeight="1">
      <c r="A225" s="1707"/>
      <c r="B225" s="1707"/>
      <c r="C225" s="306" t="s">
        <v>1149</v>
      </c>
      <c r="D225" s="2378"/>
      <c r="E225" s="2175"/>
      <c r="F225" s="2313"/>
      <c r="G225" s="2353"/>
      <c r="H225" s="1427"/>
      <c r="I225" s="588" t="s">
        <v>1148</v>
      </c>
      <c r="J225" s="508"/>
      <c r="K225" s="1427"/>
      <c r="L225" s="151"/>
      <c r="M225" s="278"/>
      <c r="N225" s="271"/>
      <c r="O225" s="1551"/>
      <c r="P225" s="1551"/>
      <c r="AH225" s="1558">
        <v>0</v>
      </c>
    </row>
    <row r="226" spans="1:34" s="1562" customFormat="1" ht="0.75" hidden="1" customHeight="1">
      <c r="A226" s="1707"/>
      <c r="B226" s="1707"/>
      <c r="C226" s="306" t="s">
        <v>1156</v>
      </c>
      <c r="D226" s="2378"/>
      <c r="E226" s="2175"/>
      <c r="F226" s="2313"/>
      <c r="G226" s="337"/>
      <c r="H226" s="1427"/>
      <c r="I226" s="588"/>
      <c r="J226" s="508"/>
      <c r="K226" s="1427"/>
      <c r="L226" s="151"/>
      <c r="M226" s="278"/>
      <c r="N226" s="271"/>
      <c r="O226" s="1551"/>
      <c r="P226" s="1551"/>
      <c r="AH226" s="1558">
        <v>0</v>
      </c>
    </row>
    <row r="227" spans="1:34" s="1562" customFormat="1" ht="18.75" hidden="1" customHeight="1">
      <c r="A227" s="1707" t="s">
        <v>195</v>
      </c>
      <c r="B227" s="1707" t="s">
        <v>196</v>
      </c>
      <c r="C227" s="306"/>
      <c r="D227" s="2378"/>
      <c r="E227" s="2175"/>
      <c r="F227" s="231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3" t="str">
        <f>INDEX(PT_DIFFERENTIATION_NTAR,MATCH(B227,PT_DIFFERENTIATION_NTAR_ID,0))</f>
        <v/>
      </c>
      <c r="H227" s="1788"/>
      <c r="I227" s="1666"/>
      <c r="J227" s="1700"/>
      <c r="K227" s="1705"/>
      <c r="L227" s="1788" t="s">
        <v>308</v>
      </c>
      <c r="M227" s="278"/>
      <c r="N227" s="271"/>
      <c r="O227" s="1551"/>
      <c r="P227" s="1551"/>
      <c r="AH227" s="1558">
        <v>0</v>
      </c>
    </row>
    <row r="228" spans="1:34" s="1562" customFormat="1" ht="18.75" hidden="1" customHeight="1">
      <c r="A228" s="1707"/>
      <c r="B228" s="1707"/>
      <c r="C228" s="306" t="s">
        <v>1149</v>
      </c>
      <c r="D228" s="2378"/>
      <c r="E228" s="2175"/>
      <c r="F228" s="2313"/>
      <c r="G228" s="2353"/>
      <c r="H228" s="1427"/>
      <c r="I228" s="588" t="s">
        <v>1148</v>
      </c>
      <c r="J228" s="508"/>
      <c r="K228" s="1427"/>
      <c r="L228" s="151"/>
      <c r="M228" s="278"/>
      <c r="N228" s="271"/>
      <c r="O228" s="1551"/>
      <c r="P228" s="1551"/>
      <c r="AH228" s="1558">
        <v>0</v>
      </c>
    </row>
    <row r="229" spans="1:34" s="1562" customFormat="1" ht="0.75" hidden="1" customHeight="1">
      <c r="A229" s="1707"/>
      <c r="B229" s="1707"/>
      <c r="C229" s="306" t="s">
        <v>1156</v>
      </c>
      <c r="D229" s="2378"/>
      <c r="E229" s="2175"/>
      <c r="F229" s="2313"/>
      <c r="G229" s="337"/>
      <c r="H229" s="1427"/>
      <c r="I229" s="588"/>
      <c r="J229" s="508"/>
      <c r="K229" s="1427"/>
      <c r="L229" s="151"/>
      <c r="M229" s="278"/>
      <c r="N229" s="271"/>
      <c r="O229" s="1551"/>
      <c r="P229" s="1551"/>
      <c r="AH229" s="1558">
        <v>0</v>
      </c>
    </row>
    <row r="230" spans="1:34" s="1562" customFormat="1" ht="18.75" hidden="1" customHeight="1">
      <c r="A230" s="1707" t="s">
        <v>201</v>
      </c>
      <c r="B230" s="1707" t="s">
        <v>202</v>
      </c>
      <c r="C230" s="306"/>
      <c r="D230" s="2378"/>
      <c r="E230" s="2175"/>
      <c r="F230" s="2313" t="str">
        <f>INDEX(PT_DIFFERENTIATION_VTAR,MATCH(A230,PT_DIFFERENTIATION_VTAR_ID,0))</f>
        <v>Плата за подключение (технологическое присоединение) к системе теплоснабжения</v>
      </c>
      <c r="G230" s="2353" t="str">
        <f>INDEX(PT_DIFFERENTIATION_NTAR,MATCH(B230,PT_DIFFERENTIATION_NTAR_ID,0))</f>
        <v/>
      </c>
      <c r="H230" s="1788"/>
      <c r="I230" s="1666"/>
      <c r="J230" s="1700"/>
      <c r="K230" s="1705"/>
      <c r="L230" s="1788" t="s">
        <v>308</v>
      </c>
      <c r="M230" s="278"/>
      <c r="N230" s="271"/>
      <c r="O230" s="1551"/>
      <c r="P230" s="1551"/>
      <c r="AH230" s="1558">
        <v>0</v>
      </c>
    </row>
    <row r="231" spans="1:34" s="1562" customFormat="1" ht="18.75" hidden="1" customHeight="1">
      <c r="A231" s="1707"/>
      <c r="B231" s="1707"/>
      <c r="C231" s="306" t="s">
        <v>1149</v>
      </c>
      <c r="D231" s="2378"/>
      <c r="E231" s="2175"/>
      <c r="F231" s="2313"/>
      <c r="G231" s="2353"/>
      <c r="H231" s="1427"/>
      <c r="I231" s="588" t="s">
        <v>1148</v>
      </c>
      <c r="J231" s="508"/>
      <c r="K231" s="1427"/>
      <c r="L231" s="151"/>
      <c r="M231" s="278"/>
      <c r="N231" s="271"/>
      <c r="O231" s="1551"/>
      <c r="P231" s="1551"/>
      <c r="AH231" s="1558">
        <v>0</v>
      </c>
    </row>
    <row r="232" spans="1:34" s="1562" customFormat="1" ht="0.75" hidden="1" customHeight="1">
      <c r="A232" s="1707"/>
      <c r="B232" s="1707"/>
      <c r="C232" s="306" t="s">
        <v>1156</v>
      </c>
      <c r="D232" s="2378"/>
      <c r="E232" s="2175"/>
      <c r="F232" s="2313"/>
      <c r="G232" s="337"/>
      <c r="H232" s="1427"/>
      <c r="I232" s="588"/>
      <c r="J232" s="508"/>
      <c r="K232" s="1427"/>
      <c r="L232" s="151"/>
      <c r="M232" s="278"/>
      <c r="N232" s="271"/>
      <c r="O232" s="1551"/>
      <c r="P232" s="1551"/>
      <c r="AH232" s="1558">
        <v>0</v>
      </c>
    </row>
    <row r="233" spans="1:34" s="1562" customFormat="1" ht="18.75" hidden="1" customHeight="1">
      <c r="A233" s="1707" t="s">
        <v>207</v>
      </c>
      <c r="B233" s="1707" t="s">
        <v>208</v>
      </c>
      <c r="C233" s="306"/>
      <c r="D233" s="2378"/>
      <c r="E233" s="2175"/>
      <c r="F233" s="2313" t="str">
        <f>INDEX(PT_DIFFERENTIATION_VTAR,MATCH(A233,PT_DIFFERENTIATION_VTAR_ID,0))</f>
        <v>Плата за подключение (технологическое присоединение) к системе теплоснабжения (индивидуальная)</v>
      </c>
      <c r="G233" s="2353" t="str">
        <f>INDEX(PT_DIFFERENTIATION_NTAR,MATCH(B233,PT_DIFFERENTIATION_NTAR_ID,0))</f>
        <v/>
      </c>
      <c r="H233" s="1912"/>
      <c r="I233" s="1666"/>
      <c r="J233" s="1700"/>
      <c r="K233" s="1705"/>
      <c r="L233" s="1912" t="s">
        <v>308</v>
      </c>
      <c r="M233" s="278"/>
      <c r="N233" s="271"/>
      <c r="O233" s="1551"/>
      <c r="P233" s="1551"/>
      <c r="AH233" s="1558">
        <v>0</v>
      </c>
    </row>
    <row r="234" spans="1:34" s="1562" customFormat="1" ht="18.75" hidden="1" customHeight="1">
      <c r="A234" s="1707"/>
      <c r="B234" s="1707"/>
      <c r="C234" s="306" t="s">
        <v>1149</v>
      </c>
      <c r="D234" s="2378"/>
      <c r="E234" s="2175"/>
      <c r="F234" s="2313"/>
      <c r="G234" s="2353"/>
      <c r="H234" s="1427"/>
      <c r="I234" s="588" t="s">
        <v>1148</v>
      </c>
      <c r="J234" s="508"/>
      <c r="K234" s="1427"/>
      <c r="L234" s="151"/>
      <c r="M234" s="278"/>
      <c r="N234" s="271"/>
      <c r="O234" s="1551"/>
      <c r="P234" s="1551"/>
      <c r="AH234" s="1558">
        <v>0</v>
      </c>
    </row>
    <row r="235" spans="1:34" s="1562" customFormat="1" ht="0.75" hidden="1" customHeight="1">
      <c r="A235" s="1707"/>
      <c r="B235" s="1707"/>
      <c r="C235" s="306" t="s">
        <v>1156</v>
      </c>
      <c r="D235" s="2378"/>
      <c r="E235" s="2175"/>
      <c r="F235" s="2313"/>
      <c r="G235" s="337"/>
      <c r="H235" s="1427"/>
      <c r="I235" s="588"/>
      <c r="J235" s="508"/>
      <c r="K235" s="1427"/>
      <c r="L235" s="151"/>
      <c r="M235" s="278"/>
      <c r="N235" s="271"/>
      <c r="O235" s="1551"/>
      <c r="P235" s="1551"/>
      <c r="AH235" s="1558">
        <v>0</v>
      </c>
    </row>
    <row r="236" spans="1:34" s="1562" customFormat="1" ht="18.75" hidden="1" customHeight="1">
      <c r="A236" s="1707" t="s">
        <v>227</v>
      </c>
      <c r="B236" s="1707" t="s">
        <v>228</v>
      </c>
      <c r="C236" s="306"/>
      <c r="D236" s="2378"/>
      <c r="E236" s="2175"/>
      <c r="F236" s="2313" t="str">
        <f>INDEX(PT_DIFFERENTIATION_VTAR,MATCH(A236,PT_DIFFERENTIATION_VTAR_ID,0))</f>
        <v>Тариф на питьевую воду (питьевое водоснабжение)</v>
      </c>
      <c r="G236" s="2353" t="str">
        <f>INDEX(PT_DIFFERENTIATION_NTAR,MATCH(B236,PT_DIFFERENTIATION_NTAR_ID,0))</f>
        <v/>
      </c>
      <c r="H236" s="1788"/>
      <c r="I236" s="1666"/>
      <c r="J236" s="1700"/>
      <c r="K236" s="1705"/>
      <c r="L236" s="1788" t="s">
        <v>308</v>
      </c>
      <c r="M236" s="278"/>
      <c r="N236" s="271"/>
      <c r="O236" s="1551"/>
      <c r="P236" s="1551"/>
      <c r="AH236" s="1558">
        <v>0</v>
      </c>
    </row>
    <row r="237" spans="1:34" s="1562" customFormat="1" ht="18.75" hidden="1" customHeight="1">
      <c r="A237" s="1707"/>
      <c r="B237" s="1707"/>
      <c r="C237" s="306" t="s">
        <v>1149</v>
      </c>
      <c r="D237" s="2378"/>
      <c r="E237" s="2175"/>
      <c r="F237" s="2313"/>
      <c r="G237" s="2353"/>
      <c r="H237" s="1427"/>
      <c r="I237" s="588" t="s">
        <v>1148</v>
      </c>
      <c r="J237" s="508"/>
      <c r="K237" s="1427"/>
      <c r="L237" s="151"/>
      <c r="M237" s="278"/>
      <c r="N237" s="271"/>
      <c r="O237" s="1551"/>
      <c r="P237" s="1551"/>
      <c r="AH237" s="1558">
        <v>0</v>
      </c>
    </row>
    <row r="238" spans="1:34" s="1562" customFormat="1" ht="0.75" hidden="1" customHeight="1">
      <c r="A238" s="1707"/>
      <c r="B238" s="1707"/>
      <c r="C238" s="306" t="s">
        <v>1156</v>
      </c>
      <c r="D238" s="2378"/>
      <c r="E238" s="2175"/>
      <c r="F238" s="2313"/>
      <c r="G238" s="337"/>
      <c r="H238" s="1427"/>
      <c r="I238" s="588"/>
      <c r="J238" s="508"/>
      <c r="K238" s="1427"/>
      <c r="L238" s="151"/>
      <c r="M238" s="278"/>
      <c r="N238" s="271"/>
      <c r="O238" s="1551"/>
      <c r="P238" s="1551"/>
      <c r="AH238" s="1558">
        <v>0</v>
      </c>
    </row>
    <row r="239" spans="1:34" s="1562" customFormat="1" ht="18.75" hidden="1" customHeight="1">
      <c r="A239" s="1707" t="s">
        <v>232</v>
      </c>
      <c r="B239" s="1707" t="s">
        <v>233</v>
      </c>
      <c r="C239" s="306"/>
      <c r="D239" s="2378"/>
      <c r="E239" s="2175"/>
      <c r="F239" s="2313" t="str">
        <f>INDEX(PT_DIFFERENTIATION_VTAR,MATCH(A239,PT_DIFFERENTIATION_VTAR_ID,0))</f>
        <v>Тариф на техническую воду</v>
      </c>
      <c r="G239" s="2353" t="str">
        <f>INDEX(PT_DIFFERENTIATION_NTAR,MATCH(B239,PT_DIFFERENTIATION_NTAR_ID,0))</f>
        <v/>
      </c>
      <c r="H239" s="1788"/>
      <c r="I239" s="1666"/>
      <c r="J239" s="1700"/>
      <c r="K239" s="1705"/>
      <c r="L239" s="1788" t="s">
        <v>308</v>
      </c>
      <c r="M239" s="278"/>
      <c r="N239" s="271"/>
      <c r="O239" s="1551"/>
      <c r="P239" s="1551"/>
      <c r="AH239" s="1558">
        <v>0</v>
      </c>
    </row>
    <row r="240" spans="1:34" s="1562" customFormat="1" ht="18.75" hidden="1" customHeight="1">
      <c r="A240" s="1707"/>
      <c r="B240" s="1707"/>
      <c r="C240" s="306" t="s">
        <v>1149</v>
      </c>
      <c r="D240" s="2378"/>
      <c r="E240" s="2175"/>
      <c r="F240" s="2313"/>
      <c r="G240" s="2353"/>
      <c r="H240" s="1427"/>
      <c r="I240" s="588" t="s">
        <v>1148</v>
      </c>
      <c r="J240" s="508"/>
      <c r="K240" s="1427"/>
      <c r="L240" s="151"/>
      <c r="M240" s="278"/>
      <c r="N240" s="271"/>
      <c r="O240" s="1551"/>
      <c r="P240" s="1551"/>
      <c r="AH240" s="1558">
        <v>0</v>
      </c>
    </row>
    <row r="241" spans="1:34" s="1562" customFormat="1" ht="0.75" hidden="1" customHeight="1">
      <c r="A241" s="1707"/>
      <c r="B241" s="1707"/>
      <c r="C241" s="306" t="s">
        <v>1156</v>
      </c>
      <c r="D241" s="2378"/>
      <c r="E241" s="2175"/>
      <c r="F241" s="2313"/>
      <c r="G241" s="337"/>
      <c r="H241" s="1427"/>
      <c r="I241" s="588"/>
      <c r="J241" s="508"/>
      <c r="K241" s="1427"/>
      <c r="L241" s="151"/>
      <c r="M241" s="278"/>
      <c r="N241" s="271"/>
      <c r="O241" s="1551"/>
      <c r="P241" s="1551"/>
      <c r="AH241" s="1558">
        <v>0</v>
      </c>
    </row>
    <row r="242" spans="1:34" s="1562" customFormat="1" ht="18.75" hidden="1" customHeight="1">
      <c r="A242" s="1707" t="s">
        <v>237</v>
      </c>
      <c r="B242" s="1707" t="s">
        <v>238</v>
      </c>
      <c r="C242" s="306"/>
      <c r="D242" s="2378"/>
      <c r="E242" s="2175"/>
      <c r="F242" s="2313" t="str">
        <f>INDEX(PT_DIFFERENTIATION_VTAR,MATCH(A242,PT_DIFFERENTIATION_VTAR_ID,0))</f>
        <v>Тариф на транспортировку воды</v>
      </c>
      <c r="G242" s="2353" t="str">
        <f>INDEX(PT_DIFFERENTIATION_NTAR,MATCH(B242,PT_DIFFERENTIATION_NTAR_ID,0))</f>
        <v/>
      </c>
      <c r="H242" s="1788"/>
      <c r="I242" s="1666"/>
      <c r="J242" s="1700"/>
      <c r="K242" s="1705"/>
      <c r="L242" s="1788" t="s">
        <v>308</v>
      </c>
      <c r="M242" s="278"/>
      <c r="N242" s="271"/>
      <c r="O242" s="1551"/>
      <c r="P242" s="1551"/>
      <c r="AH242" s="1558">
        <v>0</v>
      </c>
    </row>
    <row r="243" spans="1:34" s="1562" customFormat="1" ht="18.75" hidden="1" customHeight="1">
      <c r="A243" s="1707"/>
      <c r="B243" s="1707"/>
      <c r="C243" s="306" t="s">
        <v>1149</v>
      </c>
      <c r="D243" s="2378"/>
      <c r="E243" s="2175"/>
      <c r="F243" s="2313"/>
      <c r="G243" s="2353"/>
      <c r="H243" s="1427"/>
      <c r="I243" s="588" t="s">
        <v>1148</v>
      </c>
      <c r="J243" s="508"/>
      <c r="K243" s="1427"/>
      <c r="L243" s="151"/>
      <c r="M243" s="278"/>
      <c r="N243" s="271"/>
      <c r="O243" s="1551"/>
      <c r="P243" s="1551"/>
      <c r="AH243" s="1558">
        <v>0</v>
      </c>
    </row>
    <row r="244" spans="1:34" s="1562" customFormat="1" ht="0.75" hidden="1" customHeight="1">
      <c r="A244" s="1707"/>
      <c r="B244" s="1707"/>
      <c r="C244" s="306" t="s">
        <v>1156</v>
      </c>
      <c r="D244" s="2378"/>
      <c r="E244" s="2175"/>
      <c r="F244" s="2313"/>
      <c r="G244" s="337"/>
      <c r="H244" s="1427"/>
      <c r="I244" s="588"/>
      <c r="J244" s="508"/>
      <c r="K244" s="1427"/>
      <c r="L244" s="151"/>
      <c r="M244" s="278"/>
      <c r="N244" s="271"/>
      <c r="O244" s="1551"/>
      <c r="P244" s="1551"/>
      <c r="AH244" s="1558">
        <v>0</v>
      </c>
    </row>
    <row r="245" spans="1:34" s="1562" customFormat="1" ht="18.75" hidden="1" customHeight="1">
      <c r="A245" s="1707" t="s">
        <v>242</v>
      </c>
      <c r="B245" s="1707" t="s">
        <v>243</v>
      </c>
      <c r="C245" s="306"/>
      <c r="D245" s="2378"/>
      <c r="E245" s="2175"/>
      <c r="F245" s="2313" t="str">
        <f>INDEX(PT_DIFFERENTIATION_VTAR,MATCH(A245,PT_DIFFERENTIATION_VTAR_ID,0))</f>
        <v>Тариф на подвоз воды</v>
      </c>
      <c r="G245" s="2353" t="str">
        <f>INDEX(PT_DIFFERENTIATION_NTAR,MATCH(B245,PT_DIFFERENTIATION_NTAR_ID,0))</f>
        <v/>
      </c>
      <c r="H245" s="1788"/>
      <c r="I245" s="1666"/>
      <c r="J245" s="1700"/>
      <c r="K245" s="1705"/>
      <c r="L245" s="1788" t="s">
        <v>308</v>
      </c>
      <c r="M245" s="278"/>
      <c r="N245" s="271"/>
      <c r="O245" s="1551"/>
      <c r="P245" s="1551"/>
      <c r="AH245" s="1558">
        <v>0</v>
      </c>
    </row>
    <row r="246" spans="1:34" s="1562" customFormat="1" ht="18.75" hidden="1" customHeight="1">
      <c r="A246" s="1707"/>
      <c r="B246" s="1707"/>
      <c r="C246" s="306" t="s">
        <v>1149</v>
      </c>
      <c r="D246" s="2378"/>
      <c r="E246" s="2175"/>
      <c r="F246" s="2313"/>
      <c r="G246" s="2353"/>
      <c r="H246" s="1427"/>
      <c r="I246" s="588" t="s">
        <v>1148</v>
      </c>
      <c r="J246" s="508"/>
      <c r="K246" s="1427"/>
      <c r="L246" s="151"/>
      <c r="M246" s="278"/>
      <c r="N246" s="271"/>
      <c r="O246" s="1551"/>
      <c r="P246" s="1551"/>
      <c r="AH246" s="1558">
        <v>0</v>
      </c>
    </row>
    <row r="247" spans="1:34" s="1562" customFormat="1" ht="0.75" hidden="1" customHeight="1">
      <c r="A247" s="1707"/>
      <c r="B247" s="1707"/>
      <c r="C247" s="306" t="s">
        <v>1156</v>
      </c>
      <c r="D247" s="2378"/>
      <c r="E247" s="2175"/>
      <c r="F247" s="2313"/>
      <c r="G247" s="337"/>
      <c r="H247" s="1427"/>
      <c r="I247" s="588"/>
      <c r="J247" s="508"/>
      <c r="K247" s="1427"/>
      <c r="L247" s="151"/>
      <c r="M247" s="278"/>
      <c r="N247" s="271"/>
      <c r="O247" s="1551"/>
      <c r="P247" s="1551"/>
      <c r="AH247" s="1558">
        <v>0</v>
      </c>
    </row>
    <row r="248" spans="1:34" s="1562" customFormat="1" ht="18.75" hidden="1" customHeight="1">
      <c r="A248" s="1707" t="s">
        <v>247</v>
      </c>
      <c r="B248" s="1707" t="s">
        <v>248</v>
      </c>
      <c r="C248" s="306"/>
      <c r="D248" s="2378"/>
      <c r="E248" s="2175"/>
      <c r="F248" s="231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3" t="str">
        <f>INDEX(PT_DIFFERENTIATION_NTAR,MATCH(B248,PT_DIFFERENTIATION_NTAR_ID,0))</f>
        <v/>
      </c>
      <c r="H248" s="1788"/>
      <c r="I248" s="1666"/>
      <c r="J248" s="1700"/>
      <c r="K248" s="1705"/>
      <c r="L248" s="1788" t="s">
        <v>308</v>
      </c>
      <c r="M248" s="278"/>
      <c r="N248" s="271"/>
      <c r="O248" s="1551"/>
      <c r="P248" s="1551"/>
      <c r="AH248" s="1558">
        <v>0</v>
      </c>
    </row>
    <row r="249" spans="1:34" s="1562" customFormat="1" ht="18.75" hidden="1" customHeight="1">
      <c r="A249" s="1707"/>
      <c r="B249" s="1707"/>
      <c r="C249" s="306" t="s">
        <v>1149</v>
      </c>
      <c r="D249" s="2378"/>
      <c r="E249" s="2175"/>
      <c r="F249" s="2313"/>
      <c r="G249" s="2353"/>
      <c r="H249" s="1427"/>
      <c r="I249" s="588" t="s">
        <v>1148</v>
      </c>
      <c r="J249" s="508"/>
      <c r="K249" s="1427"/>
      <c r="L249" s="151"/>
      <c r="M249" s="278"/>
      <c r="N249" s="271"/>
      <c r="O249" s="1551"/>
      <c r="P249" s="1551"/>
      <c r="AH249" s="1558">
        <v>0</v>
      </c>
    </row>
    <row r="250" spans="1:34" s="1562" customFormat="1" ht="0.75" hidden="1" customHeight="1">
      <c r="A250" s="1707"/>
      <c r="B250" s="1707"/>
      <c r="C250" s="306" t="s">
        <v>1156</v>
      </c>
      <c r="D250" s="2378"/>
      <c r="E250" s="2175"/>
      <c r="F250" s="2313"/>
      <c r="G250" s="337"/>
      <c r="H250" s="1427"/>
      <c r="I250" s="588"/>
      <c r="J250" s="508"/>
      <c r="K250" s="1427"/>
      <c r="L250" s="151"/>
      <c r="M250" s="278"/>
      <c r="N250" s="271"/>
      <c r="O250" s="1551"/>
      <c r="P250" s="1551"/>
      <c r="AH250" s="1558">
        <v>0</v>
      </c>
    </row>
    <row r="251" spans="1:34" s="1562" customFormat="1" ht="18.75" hidden="1" customHeight="1">
      <c r="A251" s="1707" t="s">
        <v>252</v>
      </c>
      <c r="B251" s="1707" t="s">
        <v>253</v>
      </c>
      <c r="C251" s="306"/>
      <c r="D251" s="2378"/>
      <c r="E251" s="2175"/>
      <c r="F251" s="2313" t="str">
        <f>INDEX(PT_DIFFERENTIATION_VTAR,MATCH(A251,PT_DIFFERENTIATION_VTAR_ID,0))</f>
        <v>Тариф на горячую воду (горячее водоснабжение)</v>
      </c>
      <c r="G251" s="2353" t="str">
        <f>INDEX(PT_DIFFERENTIATION_NTAR,MATCH(B251,PT_DIFFERENTIATION_NTAR_ID,0))</f>
        <v/>
      </c>
      <c r="H251" s="1788"/>
      <c r="I251" s="1666"/>
      <c r="J251" s="1700"/>
      <c r="K251" s="1705"/>
      <c r="L251" s="1788" t="s">
        <v>308</v>
      </c>
      <c r="M251" s="278"/>
      <c r="N251" s="271"/>
      <c r="O251" s="1551"/>
      <c r="P251" s="1551"/>
      <c r="AH251" s="1558">
        <v>0</v>
      </c>
    </row>
    <row r="252" spans="1:34" s="1562" customFormat="1" ht="18.75" hidden="1" customHeight="1">
      <c r="A252" s="1707"/>
      <c r="B252" s="1707"/>
      <c r="C252" s="306" t="s">
        <v>1149</v>
      </c>
      <c r="D252" s="2378"/>
      <c r="E252" s="2175"/>
      <c r="F252" s="2313"/>
      <c r="G252" s="2353"/>
      <c r="H252" s="1427"/>
      <c r="I252" s="588" t="s">
        <v>1148</v>
      </c>
      <c r="J252" s="508"/>
      <c r="K252" s="1427"/>
      <c r="L252" s="151"/>
      <c r="M252" s="278"/>
      <c r="N252" s="271"/>
      <c r="O252" s="1551"/>
      <c r="P252" s="1551"/>
      <c r="AH252" s="1558">
        <v>0</v>
      </c>
    </row>
    <row r="253" spans="1:34" s="1562" customFormat="1" ht="0.75" hidden="1" customHeight="1">
      <c r="A253" s="1707"/>
      <c r="B253" s="1707"/>
      <c r="C253" s="306" t="s">
        <v>1156</v>
      </c>
      <c r="D253" s="2378"/>
      <c r="E253" s="2175"/>
      <c r="F253" s="2313"/>
      <c r="G253" s="337"/>
      <c r="H253" s="1427"/>
      <c r="I253" s="588"/>
      <c r="J253" s="508"/>
      <c r="K253" s="1427"/>
      <c r="L253" s="151"/>
      <c r="M253" s="278"/>
      <c r="N253" s="271"/>
      <c r="O253" s="1551"/>
      <c r="P253" s="1551"/>
      <c r="AH253" s="1558">
        <v>0</v>
      </c>
    </row>
    <row r="254" spans="1:34" s="1562" customFormat="1" ht="18.75" hidden="1" customHeight="1">
      <c r="A254" s="1707" t="s">
        <v>257</v>
      </c>
      <c r="B254" s="1707" t="s">
        <v>258</v>
      </c>
      <c r="C254" s="306"/>
      <c r="D254" s="2378"/>
      <c r="E254" s="2175"/>
      <c r="F254" s="2313" t="str">
        <f>INDEX(PT_DIFFERENTIATION_VTAR,MATCH(A254,PT_DIFFERENTIATION_VTAR_ID,0))</f>
        <v>Тариф на транспортировку горячей воды</v>
      </c>
      <c r="G254" s="2353" t="str">
        <f>INDEX(PT_DIFFERENTIATION_NTAR,MATCH(B254,PT_DIFFERENTIATION_NTAR_ID,0))</f>
        <v/>
      </c>
      <c r="H254" s="1788"/>
      <c r="I254" s="1666"/>
      <c r="J254" s="1700"/>
      <c r="K254" s="1705"/>
      <c r="L254" s="1788" t="s">
        <v>308</v>
      </c>
      <c r="M254" s="278"/>
      <c r="N254" s="271"/>
      <c r="O254" s="1551"/>
      <c r="P254" s="1551"/>
      <c r="AH254" s="1558">
        <v>0</v>
      </c>
    </row>
    <row r="255" spans="1:34" s="1562" customFormat="1" ht="18.75" hidden="1" customHeight="1">
      <c r="A255" s="1707"/>
      <c r="B255" s="1707"/>
      <c r="C255" s="306" t="s">
        <v>1149</v>
      </c>
      <c r="D255" s="2378"/>
      <c r="E255" s="2175"/>
      <c r="F255" s="2313"/>
      <c r="G255" s="2353"/>
      <c r="H255" s="1427"/>
      <c r="I255" s="588" t="s">
        <v>1148</v>
      </c>
      <c r="J255" s="508"/>
      <c r="K255" s="1427"/>
      <c r="L255" s="151"/>
      <c r="M255" s="278"/>
      <c r="N255" s="271"/>
      <c r="O255" s="1551"/>
      <c r="P255" s="1551"/>
      <c r="AH255" s="1558">
        <v>0</v>
      </c>
    </row>
    <row r="256" spans="1:34" s="1562" customFormat="1" ht="0.75" hidden="1" customHeight="1">
      <c r="A256" s="1707"/>
      <c r="B256" s="1707"/>
      <c r="C256" s="306" t="s">
        <v>1156</v>
      </c>
      <c r="D256" s="2378"/>
      <c r="E256" s="2175"/>
      <c r="F256" s="2313"/>
      <c r="G256" s="337"/>
      <c r="H256" s="1427"/>
      <c r="I256" s="588"/>
      <c r="J256" s="508"/>
      <c r="K256" s="1427"/>
      <c r="L256" s="151"/>
      <c r="M256" s="278"/>
      <c r="N256" s="271"/>
      <c r="O256" s="1551"/>
      <c r="P256" s="1551"/>
      <c r="AH256" s="1558">
        <v>0</v>
      </c>
    </row>
    <row r="257" spans="1:34" s="1562" customFormat="1" ht="18.75" hidden="1" customHeight="1">
      <c r="A257" s="1707" t="s">
        <v>262</v>
      </c>
      <c r="B257" s="1707" t="s">
        <v>263</v>
      </c>
      <c r="C257" s="306"/>
      <c r="D257" s="2378"/>
      <c r="E257" s="2175"/>
      <c r="F257" s="231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3" t="str">
        <f>INDEX(PT_DIFFERENTIATION_NTAR,MATCH(B257,PT_DIFFERENTIATION_NTAR_ID,0))</f>
        <v/>
      </c>
      <c r="H257" s="1788"/>
      <c r="I257" s="1666"/>
      <c r="J257" s="1700"/>
      <c r="K257" s="1705"/>
      <c r="L257" s="1788" t="s">
        <v>308</v>
      </c>
      <c r="M257" s="278"/>
      <c r="N257" s="271"/>
      <c r="O257" s="1551"/>
      <c r="P257" s="1551"/>
      <c r="AH257" s="1558">
        <v>0</v>
      </c>
    </row>
    <row r="258" spans="1:34" s="1562" customFormat="1" ht="18.75" hidden="1" customHeight="1">
      <c r="A258" s="1707"/>
      <c r="B258" s="1707"/>
      <c r="C258" s="306" t="s">
        <v>1149</v>
      </c>
      <c r="D258" s="2378"/>
      <c r="E258" s="2175"/>
      <c r="F258" s="2313"/>
      <c r="G258" s="2353"/>
      <c r="H258" s="1427"/>
      <c r="I258" s="588" t="s">
        <v>1148</v>
      </c>
      <c r="J258" s="508"/>
      <c r="K258" s="1427"/>
      <c r="L258" s="151"/>
      <c r="M258" s="278"/>
      <c r="N258" s="271"/>
      <c r="O258" s="1551"/>
      <c r="P258" s="1551"/>
      <c r="AH258" s="1558">
        <v>0</v>
      </c>
    </row>
    <row r="259" spans="1:34" s="1562" customFormat="1" ht="0.75" hidden="1" customHeight="1">
      <c r="A259" s="1707"/>
      <c r="B259" s="1707"/>
      <c r="C259" s="306" t="s">
        <v>1156</v>
      </c>
      <c r="D259" s="2378"/>
      <c r="E259" s="2175"/>
      <c r="F259" s="2313"/>
      <c r="G259" s="337"/>
      <c r="H259" s="1427"/>
      <c r="I259" s="588"/>
      <c r="J259" s="508"/>
      <c r="K259" s="1427"/>
      <c r="L259" s="151"/>
      <c r="M259" s="278"/>
      <c r="N259" s="271"/>
      <c r="O259" s="1551"/>
      <c r="P259" s="1551"/>
      <c r="AH259" s="1558">
        <v>0</v>
      </c>
    </row>
    <row r="260" spans="1:34" s="1562" customFormat="1" ht="18.75" hidden="1" customHeight="1">
      <c r="A260" s="1707" t="s">
        <v>267</v>
      </c>
      <c r="B260" s="1707" t="s">
        <v>268</v>
      </c>
      <c r="C260" s="306"/>
      <c r="D260" s="2378"/>
      <c r="E260" s="2175"/>
      <c r="F260" s="2313" t="str">
        <f>INDEX(PT_DIFFERENTIATION_VTAR,MATCH(A260,PT_DIFFERENTIATION_VTAR_ID,0))</f>
        <v>Тариф на водоотведение</v>
      </c>
      <c r="G260" s="2353" t="str">
        <f>INDEX(PT_DIFFERENTIATION_NTAR,MATCH(B260,PT_DIFFERENTIATION_NTAR_ID,0))</f>
        <v/>
      </c>
      <c r="H260" s="1788"/>
      <c r="I260" s="1666"/>
      <c r="J260" s="1700"/>
      <c r="K260" s="1705"/>
      <c r="L260" s="1788" t="s">
        <v>308</v>
      </c>
      <c r="M260" s="278"/>
      <c r="N260" s="271"/>
      <c r="O260" s="1551"/>
      <c r="P260" s="1551"/>
      <c r="AH260" s="1558">
        <v>0</v>
      </c>
    </row>
    <row r="261" spans="1:34" s="1562" customFormat="1" ht="18.75" hidden="1" customHeight="1">
      <c r="A261" s="1707"/>
      <c r="B261" s="1707"/>
      <c r="C261" s="306" t="s">
        <v>1149</v>
      </c>
      <c r="D261" s="2378"/>
      <c r="E261" s="2175"/>
      <c r="F261" s="2313"/>
      <c r="G261" s="2353"/>
      <c r="H261" s="1427"/>
      <c r="I261" s="588" t="s">
        <v>1148</v>
      </c>
      <c r="J261" s="508"/>
      <c r="K261" s="1427"/>
      <c r="L261" s="151"/>
      <c r="M261" s="278"/>
      <c r="N261" s="271"/>
      <c r="O261" s="1551"/>
      <c r="P261" s="1551"/>
      <c r="AH261" s="1558">
        <v>0</v>
      </c>
    </row>
    <row r="262" spans="1:34" s="1562" customFormat="1" ht="0.75" hidden="1" customHeight="1">
      <c r="A262" s="1707"/>
      <c r="B262" s="1707"/>
      <c r="C262" s="306" t="s">
        <v>1156</v>
      </c>
      <c r="D262" s="2378"/>
      <c r="E262" s="2175"/>
      <c r="F262" s="2313"/>
      <c r="G262" s="337"/>
      <c r="H262" s="1427"/>
      <c r="I262" s="588"/>
      <c r="J262" s="508"/>
      <c r="K262" s="1427"/>
      <c r="L262" s="151"/>
      <c r="M262" s="278"/>
      <c r="N262" s="271"/>
      <c r="O262" s="1551"/>
      <c r="P262" s="1551"/>
      <c r="AH262" s="1558">
        <v>0</v>
      </c>
    </row>
    <row r="263" spans="1:34" s="1562" customFormat="1" ht="18.75" hidden="1" customHeight="1">
      <c r="A263" s="1707" t="s">
        <v>272</v>
      </c>
      <c r="B263" s="1707" t="s">
        <v>273</v>
      </c>
      <c r="C263" s="306"/>
      <c r="D263" s="2378"/>
      <c r="E263" s="2175"/>
      <c r="F263" s="2313" t="str">
        <f>INDEX(PT_DIFFERENTIATION_VTAR,MATCH(A263,PT_DIFFERENTIATION_VTAR_ID,0))</f>
        <v>Тариф на транспортировку сточных вод</v>
      </c>
      <c r="G263" s="2353" t="str">
        <f>INDEX(PT_DIFFERENTIATION_NTAR,MATCH(B263,PT_DIFFERENTIATION_NTAR_ID,0))</f>
        <v/>
      </c>
      <c r="H263" s="1788"/>
      <c r="I263" s="1666"/>
      <c r="J263" s="1700"/>
      <c r="K263" s="1705"/>
      <c r="L263" s="1788" t="s">
        <v>308</v>
      </c>
      <c r="M263" s="278"/>
      <c r="N263" s="271"/>
      <c r="O263" s="1551"/>
      <c r="P263" s="1551"/>
      <c r="AH263" s="1558">
        <v>0</v>
      </c>
    </row>
    <row r="264" spans="1:34" s="1562" customFormat="1" ht="18.75" hidden="1" customHeight="1">
      <c r="A264" s="1707"/>
      <c r="B264" s="1707"/>
      <c r="C264" s="306" t="s">
        <v>1149</v>
      </c>
      <c r="D264" s="2378"/>
      <c r="E264" s="2175"/>
      <c r="F264" s="2313"/>
      <c r="G264" s="2353"/>
      <c r="H264" s="1427"/>
      <c r="I264" s="588" t="s">
        <v>1148</v>
      </c>
      <c r="J264" s="508"/>
      <c r="K264" s="1427"/>
      <c r="L264" s="151"/>
      <c r="M264" s="278"/>
      <c r="N264" s="271"/>
      <c r="O264" s="1551"/>
      <c r="P264" s="1551"/>
      <c r="AH264" s="1558">
        <v>0</v>
      </c>
    </row>
    <row r="265" spans="1:34" s="1562" customFormat="1" ht="0.75" hidden="1" customHeight="1">
      <c r="A265" s="1707"/>
      <c r="B265" s="1707"/>
      <c r="C265" s="306" t="s">
        <v>1156</v>
      </c>
      <c r="D265" s="2378"/>
      <c r="E265" s="2175"/>
      <c r="F265" s="2313"/>
      <c r="G265" s="337"/>
      <c r="H265" s="1427"/>
      <c r="I265" s="588"/>
      <c r="J265" s="508"/>
      <c r="K265" s="1427"/>
      <c r="L265" s="151"/>
      <c r="M265" s="278"/>
      <c r="N265" s="271"/>
      <c r="O265" s="1551"/>
      <c r="P265" s="1551"/>
      <c r="AH265" s="1558">
        <v>0</v>
      </c>
    </row>
    <row r="266" spans="1:34" s="1562" customFormat="1" ht="18.75" hidden="1" customHeight="1">
      <c r="A266" s="1707" t="s">
        <v>277</v>
      </c>
      <c r="B266" s="1707" t="s">
        <v>278</v>
      </c>
      <c r="C266" s="306"/>
      <c r="D266" s="2378"/>
      <c r="E266" s="2175"/>
      <c r="F266" s="2313" t="str">
        <f>INDEX(PT_DIFFERENTIATION_VTAR,MATCH(A266,PT_DIFFERENTIATION_VTAR_ID,0))</f>
        <v>Тариф на подключение (технологическое присоединение) к централизованной системе водоотведения</v>
      </c>
      <c r="G266" s="2353" t="str">
        <f>INDEX(PT_DIFFERENTIATION_NTAR,MATCH(B266,PT_DIFFERENTIATION_NTAR_ID,0))</f>
        <v/>
      </c>
      <c r="H266" s="1788"/>
      <c r="I266" s="1666"/>
      <c r="J266" s="1700"/>
      <c r="K266" s="1705"/>
      <c r="L266" s="1788" t="s">
        <v>308</v>
      </c>
      <c r="M266" s="278"/>
      <c r="N266" s="271"/>
      <c r="O266" s="1551"/>
      <c r="P266" s="1551"/>
      <c r="AH266" s="1558">
        <v>0</v>
      </c>
    </row>
    <row r="267" spans="1:34" s="1562" customFormat="1" ht="18.75" hidden="1" customHeight="1">
      <c r="A267" s="1707"/>
      <c r="B267" s="1707"/>
      <c r="C267" s="306" t="s">
        <v>1149</v>
      </c>
      <c r="D267" s="2378"/>
      <c r="E267" s="2175"/>
      <c r="F267" s="2313"/>
      <c r="G267" s="2353"/>
      <c r="H267" s="1427"/>
      <c r="I267" s="588" t="s">
        <v>1148</v>
      </c>
      <c r="J267" s="508"/>
      <c r="K267" s="1427"/>
      <c r="L267" s="151"/>
      <c r="M267" s="278"/>
      <c r="N267" s="271"/>
      <c r="O267" s="1551"/>
      <c r="P267" s="1551"/>
      <c r="AH267" s="1558">
        <v>0</v>
      </c>
    </row>
    <row r="268" spans="1:34" s="1562" customFormat="1" ht="1.1499999999999999" customHeight="1">
      <c r="A268" s="1707"/>
      <c r="B268" s="1707"/>
      <c r="C268" s="306" t="s">
        <v>1156</v>
      </c>
      <c r="D268" s="2378"/>
      <c r="E268" s="2175"/>
      <c r="F268" s="2313"/>
      <c r="G268" s="337"/>
      <c r="H268" s="1427"/>
      <c r="I268" s="588"/>
      <c r="J268" s="508"/>
      <c r="K268" s="1427"/>
      <c r="L268" s="151"/>
      <c r="M268" s="278"/>
      <c r="N268" s="271"/>
      <c r="O268" s="1551"/>
      <c r="P268" s="1551"/>
      <c r="AH268" s="1558">
        <v>1</v>
      </c>
    </row>
    <row r="269" spans="1:34" ht="27.4" customHeight="1">
      <c r="A269" s="1707"/>
      <c r="B269" s="1707"/>
      <c r="D269" s="313"/>
      <c r="E269" s="84" t="s">
        <v>91</v>
      </c>
      <c r="F269" s="237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77"/>
      <c r="H269" s="2377"/>
      <c r="I269" s="2377"/>
      <c r="J269" s="2377"/>
      <c r="K269" s="2377"/>
      <c r="L269" s="2377"/>
      <c r="M269" s="234"/>
      <c r="N269" s="271"/>
      <c r="AH269" s="311">
        <v>26</v>
      </c>
    </row>
    <row r="270" spans="1:34" s="1562" customFormat="1" ht="60.75" hidden="1" customHeight="1">
      <c r="A270" s="1707" t="s">
        <v>159</v>
      </c>
      <c r="B270" s="1707" t="s">
        <v>160</v>
      </c>
      <c r="C270" s="306"/>
      <c r="D270" s="2378"/>
      <c r="E270" s="2175"/>
      <c r="F270" s="231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3" t="str">
        <f>INDEX(PT_DIFFERENTIATION_NTAR,MATCH(B270,PT_DIFFERENTIATION_NTAR_ID,0))</f>
        <v/>
      </c>
      <c r="H270" s="1788"/>
      <c r="I270" s="1666"/>
      <c r="J270" s="1700"/>
      <c r="K270" s="1705"/>
      <c r="L270" s="1788" t="s">
        <v>308</v>
      </c>
      <c r="M270" s="213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1149</v>
      </c>
      <c r="D271" s="2378"/>
      <c r="E271" s="2175"/>
      <c r="F271" s="2313"/>
      <c r="G271" s="2353"/>
      <c r="H271" s="1427"/>
      <c r="I271" s="588" t="s">
        <v>1148</v>
      </c>
      <c r="J271" s="508"/>
      <c r="K271" s="1427"/>
      <c r="L271" s="151"/>
      <c r="M271" s="2136"/>
      <c r="N271" s="271"/>
      <c r="O271" s="1551"/>
      <c r="P271" s="1551"/>
      <c r="AH271" s="1558">
        <v>0</v>
      </c>
    </row>
    <row r="272" spans="1:34" s="1562" customFormat="1" ht="0.75" hidden="1" customHeight="1">
      <c r="A272" s="1707"/>
      <c r="B272" s="1707"/>
      <c r="C272" s="306" t="s">
        <v>1156</v>
      </c>
      <c r="D272" s="2378"/>
      <c r="E272" s="2175"/>
      <c r="F272" s="2313"/>
      <c r="G272" s="337"/>
      <c r="H272" s="1427"/>
      <c r="I272" s="588"/>
      <c r="J272" s="508"/>
      <c r="K272" s="1427"/>
      <c r="L272" s="151"/>
      <c r="M272" s="2136"/>
      <c r="N272" s="271"/>
      <c r="O272" s="1551"/>
      <c r="P272" s="1551"/>
      <c r="AH272" s="1558">
        <v>0</v>
      </c>
    </row>
    <row r="273" spans="1:34" s="1562" customFormat="1" ht="45" hidden="1" customHeight="1">
      <c r="A273" s="1707" t="s">
        <v>164</v>
      </c>
      <c r="B273" s="1707" t="s">
        <v>165</v>
      </c>
      <c r="C273" s="306"/>
      <c r="D273" s="2378"/>
      <c r="E273" s="2175"/>
      <c r="F273" s="2313" t="str">
        <f>INDEX(PT_DIFFERENTIATION_VTAR,MATCH(A273,PT_DIFFERENTIATION_VTAR_ID,0))</f>
        <v/>
      </c>
      <c r="G273" s="2353" t="str">
        <f>INDEX(PT_DIFFERENTIATION_NTAR,MATCH(B273,PT_DIFFERENTIATION_NTAR_ID,0))</f>
        <v/>
      </c>
      <c r="H273" s="1788"/>
      <c r="I273" s="1666"/>
      <c r="J273" s="1700"/>
      <c r="K273" s="1705"/>
      <c r="L273" s="1788" t="s">
        <v>308</v>
      </c>
      <c r="M273" s="2137"/>
      <c r="N273" s="271"/>
      <c r="O273" s="1551"/>
      <c r="P273" s="1551"/>
      <c r="AH273" s="1558">
        <v>0</v>
      </c>
    </row>
    <row r="274" spans="1:34" s="1562" customFormat="1" ht="18.75" hidden="1" customHeight="1">
      <c r="A274" s="1707"/>
      <c r="B274" s="1707"/>
      <c r="C274" s="306" t="s">
        <v>1149</v>
      </c>
      <c r="D274" s="2378"/>
      <c r="E274" s="2175"/>
      <c r="F274" s="2313"/>
      <c r="G274" s="2353"/>
      <c r="H274" s="1427"/>
      <c r="I274" s="588" t="s">
        <v>1148</v>
      </c>
      <c r="J274" s="508"/>
      <c r="K274" s="1427"/>
      <c r="L274" s="151"/>
      <c r="M274" s="1787"/>
      <c r="N274" s="271"/>
      <c r="O274" s="1551"/>
      <c r="P274" s="1551"/>
      <c r="AH274" s="1558">
        <v>0</v>
      </c>
    </row>
    <row r="275" spans="1:34" s="1562" customFormat="1" ht="0.75" hidden="1" customHeight="1">
      <c r="A275" s="1707"/>
      <c r="B275" s="1707"/>
      <c r="C275" s="306" t="s">
        <v>1156</v>
      </c>
      <c r="D275" s="2378"/>
      <c r="E275" s="2175"/>
      <c r="F275" s="2313"/>
      <c r="G275" s="337"/>
      <c r="H275" s="1427"/>
      <c r="I275" s="588"/>
      <c r="J275" s="508"/>
      <c r="K275" s="1427"/>
      <c r="L275" s="151"/>
      <c r="M275" s="278"/>
      <c r="N275" s="271"/>
      <c r="O275" s="1551"/>
      <c r="P275" s="1551"/>
      <c r="AH275" s="1558">
        <v>0</v>
      </c>
    </row>
    <row r="276" spans="1:34" s="1562" customFormat="1" ht="45" hidden="1" customHeight="1">
      <c r="A276" s="1707" t="s">
        <v>171</v>
      </c>
      <c r="B276" s="1707" t="s">
        <v>172</v>
      </c>
      <c r="C276" s="306"/>
      <c r="D276" s="2378"/>
      <c r="E276" s="2175"/>
      <c r="F276" s="231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3" t="str">
        <f>INDEX(PT_DIFFERENTIATION_NTAR,MATCH(B276,PT_DIFFERENTIATION_NTAR_ID,0))</f>
        <v/>
      </c>
      <c r="H276" s="1788"/>
      <c r="I276" s="1666"/>
      <c r="J276" s="1700"/>
      <c r="K276" s="1705"/>
      <c r="L276" s="1788" t="s">
        <v>308</v>
      </c>
      <c r="M276" s="278"/>
      <c r="N276" s="271"/>
      <c r="O276" s="1551"/>
      <c r="P276" s="1551"/>
      <c r="AH276" s="1558">
        <v>0</v>
      </c>
    </row>
    <row r="277" spans="1:34" s="1562" customFormat="1" ht="18.75" hidden="1" customHeight="1">
      <c r="A277" s="1707"/>
      <c r="B277" s="1707"/>
      <c r="C277" s="306" t="s">
        <v>1149</v>
      </c>
      <c r="D277" s="2378"/>
      <c r="E277" s="2175"/>
      <c r="F277" s="2313"/>
      <c r="G277" s="2353"/>
      <c r="H277" s="1427"/>
      <c r="I277" s="588" t="s">
        <v>1148</v>
      </c>
      <c r="J277" s="508"/>
      <c r="K277" s="1427"/>
      <c r="L277" s="151"/>
      <c r="M277" s="278"/>
      <c r="N277" s="271"/>
      <c r="O277" s="1551"/>
      <c r="P277" s="1551"/>
      <c r="AH277" s="1558">
        <v>0</v>
      </c>
    </row>
    <row r="278" spans="1:34" s="1562" customFormat="1" ht="0.75" hidden="1" customHeight="1">
      <c r="A278" s="1707"/>
      <c r="B278" s="1707"/>
      <c r="C278" s="306" t="s">
        <v>1156</v>
      </c>
      <c r="D278" s="2378"/>
      <c r="E278" s="2175"/>
      <c r="F278" s="2313"/>
      <c r="G278" s="337"/>
      <c r="H278" s="1427"/>
      <c r="I278" s="588"/>
      <c r="J278" s="508"/>
      <c r="K278" s="1427"/>
      <c r="L278" s="151"/>
      <c r="M278" s="278"/>
      <c r="N278" s="271"/>
      <c r="O278" s="1551"/>
      <c r="P278" s="1551"/>
      <c r="AH278" s="1558">
        <v>0</v>
      </c>
    </row>
    <row r="279" spans="1:34" s="1562" customFormat="1" ht="45" hidden="1" customHeight="1">
      <c r="A279" s="1707" t="s">
        <v>177</v>
      </c>
      <c r="B279" s="1707" t="s">
        <v>178</v>
      </c>
      <c r="C279" s="306"/>
      <c r="D279" s="2378"/>
      <c r="E279" s="2175"/>
      <c r="F279" s="231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3" t="str">
        <f>INDEX(PT_DIFFERENTIATION_NTAR,MATCH(B279,PT_DIFFERENTIATION_NTAR_ID,0))</f>
        <v/>
      </c>
      <c r="H279" s="1788"/>
      <c r="I279" s="1666"/>
      <c r="J279" s="1700"/>
      <c r="K279" s="1705"/>
      <c r="L279" s="1788" t="s">
        <v>308</v>
      </c>
      <c r="M279" s="278"/>
      <c r="N279" s="271"/>
      <c r="O279" s="1551"/>
      <c r="P279" s="1551"/>
      <c r="AH279" s="1558">
        <v>0</v>
      </c>
    </row>
    <row r="280" spans="1:34" s="1562" customFormat="1" ht="18.75" hidden="1" customHeight="1">
      <c r="A280" s="1707"/>
      <c r="B280" s="1707"/>
      <c r="C280" s="306" t="s">
        <v>1149</v>
      </c>
      <c r="D280" s="2378"/>
      <c r="E280" s="2175"/>
      <c r="F280" s="2313"/>
      <c r="G280" s="2353"/>
      <c r="H280" s="1427"/>
      <c r="I280" s="588" t="s">
        <v>1148</v>
      </c>
      <c r="J280" s="508"/>
      <c r="K280" s="1427"/>
      <c r="L280" s="151"/>
      <c r="M280" s="278"/>
      <c r="N280" s="271"/>
      <c r="O280" s="1551"/>
      <c r="P280" s="1551"/>
      <c r="AH280" s="1558">
        <v>0</v>
      </c>
    </row>
    <row r="281" spans="1:34" s="1562" customFormat="1" ht="0.75" hidden="1" customHeight="1">
      <c r="A281" s="1707"/>
      <c r="B281" s="1707"/>
      <c r="C281" s="306" t="s">
        <v>1156</v>
      </c>
      <c r="D281" s="2378"/>
      <c r="E281" s="2175"/>
      <c r="F281" s="2313"/>
      <c r="G281" s="337"/>
      <c r="H281" s="1427"/>
      <c r="I281" s="588"/>
      <c r="J281" s="508"/>
      <c r="K281" s="1427"/>
      <c r="L281" s="151"/>
      <c r="M281" s="278"/>
      <c r="N281" s="271"/>
      <c r="O281" s="1551"/>
      <c r="P281" s="1551"/>
      <c r="AH281" s="1558">
        <v>0</v>
      </c>
    </row>
    <row r="282" spans="1:34" s="1562" customFormat="1" ht="18.75" hidden="1" customHeight="1">
      <c r="A282" s="1707" t="s">
        <v>183</v>
      </c>
      <c r="B282" s="1707" t="s">
        <v>184</v>
      </c>
      <c r="C282" s="306"/>
      <c r="D282" s="2378"/>
      <c r="E282" s="2175"/>
      <c r="F282" s="2313" t="str">
        <f>INDEX(PT_DIFFERENTIATION_VTAR,MATCH(A282,PT_DIFFERENTIATION_VTAR_ID,0))</f>
        <v>Тарифы на услуги по передаче тепловой энергии</v>
      </c>
      <c r="G282" s="2353" t="str">
        <f>INDEX(PT_DIFFERENTIATION_NTAR,MATCH(B282,PT_DIFFERENTIATION_NTAR_ID,0))</f>
        <v/>
      </c>
      <c r="H282" s="1788"/>
      <c r="I282" s="1666"/>
      <c r="J282" s="1700"/>
      <c r="K282" s="1705"/>
      <c r="L282" s="1788" t="s">
        <v>308</v>
      </c>
      <c r="M282" s="278"/>
      <c r="N282" s="271"/>
      <c r="O282" s="1551"/>
      <c r="P282" s="1551"/>
      <c r="AH282" s="1558">
        <v>0</v>
      </c>
    </row>
    <row r="283" spans="1:34" s="1562" customFormat="1" ht="18.75" hidden="1" customHeight="1">
      <c r="A283" s="1707"/>
      <c r="B283" s="1707"/>
      <c r="C283" s="306" t="s">
        <v>1149</v>
      </c>
      <c r="D283" s="2378"/>
      <c r="E283" s="2175"/>
      <c r="F283" s="2313"/>
      <c r="G283" s="2353"/>
      <c r="H283" s="1427"/>
      <c r="I283" s="588" t="s">
        <v>1148</v>
      </c>
      <c r="J283" s="508"/>
      <c r="K283" s="1427"/>
      <c r="L283" s="151"/>
      <c r="M283" s="278"/>
      <c r="N283" s="271"/>
      <c r="O283" s="1551"/>
      <c r="P283" s="1551"/>
      <c r="AH283" s="1558">
        <v>0</v>
      </c>
    </row>
    <row r="284" spans="1:34" s="1562" customFormat="1" ht="0.75" hidden="1" customHeight="1">
      <c r="A284" s="1707"/>
      <c r="B284" s="1707"/>
      <c r="C284" s="306" t="s">
        <v>1156</v>
      </c>
      <c r="D284" s="2378"/>
      <c r="E284" s="2175"/>
      <c r="F284" s="2313"/>
      <c r="G284" s="337"/>
      <c r="H284" s="1427"/>
      <c r="I284" s="588"/>
      <c r="J284" s="508"/>
      <c r="K284" s="1427"/>
      <c r="L284" s="151"/>
      <c r="M284" s="278"/>
      <c r="N284" s="271"/>
      <c r="O284" s="1551"/>
      <c r="P284" s="1551"/>
      <c r="AH284" s="1558">
        <v>0</v>
      </c>
    </row>
    <row r="285" spans="1:34" s="1562" customFormat="1" ht="18.75" hidden="1" customHeight="1">
      <c r="A285" s="1707" t="s">
        <v>189</v>
      </c>
      <c r="B285" s="1707" t="s">
        <v>190</v>
      </c>
      <c r="C285" s="306"/>
      <c r="D285" s="2378"/>
      <c r="E285" s="2175"/>
      <c r="F285" s="2313" t="str">
        <f>INDEX(PT_DIFFERENTIATION_VTAR,MATCH(A285,PT_DIFFERENTIATION_VTAR_ID,0))</f>
        <v>Тарифы на услуги по передаче теплоносителя</v>
      </c>
      <c r="G285" s="2353" t="str">
        <f>INDEX(PT_DIFFERENTIATION_NTAR,MATCH(B285,PT_DIFFERENTIATION_NTAR_ID,0))</f>
        <v/>
      </c>
      <c r="H285" s="1788"/>
      <c r="I285" s="1666"/>
      <c r="J285" s="1700"/>
      <c r="K285" s="1705"/>
      <c r="L285" s="1788" t="s">
        <v>308</v>
      </c>
      <c r="M285" s="278"/>
      <c r="N285" s="271"/>
      <c r="O285" s="1551"/>
      <c r="P285" s="1551"/>
      <c r="AH285" s="1558">
        <v>0</v>
      </c>
    </row>
    <row r="286" spans="1:34" s="1562" customFormat="1" ht="18.75" hidden="1" customHeight="1">
      <c r="A286" s="1707"/>
      <c r="B286" s="1707"/>
      <c r="C286" s="306" t="s">
        <v>1149</v>
      </c>
      <c r="D286" s="2378"/>
      <c r="E286" s="2175"/>
      <c r="F286" s="2313"/>
      <c r="G286" s="2353"/>
      <c r="H286" s="1427"/>
      <c r="I286" s="588" t="s">
        <v>1148</v>
      </c>
      <c r="J286" s="508"/>
      <c r="K286" s="1427"/>
      <c r="L286" s="151"/>
      <c r="M286" s="278"/>
      <c r="N286" s="271"/>
      <c r="O286" s="1551"/>
      <c r="P286" s="1551"/>
      <c r="AH286" s="1558">
        <v>0</v>
      </c>
    </row>
    <row r="287" spans="1:34" s="1562" customFormat="1" ht="0.75" hidden="1" customHeight="1">
      <c r="A287" s="1707"/>
      <c r="B287" s="1707"/>
      <c r="C287" s="306" t="s">
        <v>1156</v>
      </c>
      <c r="D287" s="2378"/>
      <c r="E287" s="2175"/>
      <c r="F287" s="2313"/>
      <c r="G287" s="337"/>
      <c r="H287" s="1427"/>
      <c r="I287" s="588"/>
      <c r="J287" s="508"/>
      <c r="K287" s="1427"/>
      <c r="L287" s="151"/>
      <c r="M287" s="278"/>
      <c r="N287" s="271"/>
      <c r="O287" s="1551"/>
      <c r="P287" s="1551"/>
      <c r="AH287" s="1558">
        <v>0</v>
      </c>
    </row>
    <row r="288" spans="1:34" s="1562" customFormat="1" ht="18.75" hidden="1" customHeight="1">
      <c r="A288" s="1707" t="s">
        <v>195</v>
      </c>
      <c r="B288" s="1707" t="s">
        <v>196</v>
      </c>
      <c r="C288" s="306"/>
      <c r="D288" s="2378"/>
      <c r="E288" s="2175"/>
      <c r="F288" s="231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3" t="str">
        <f>INDEX(PT_DIFFERENTIATION_NTAR,MATCH(B288,PT_DIFFERENTIATION_NTAR_ID,0))</f>
        <v/>
      </c>
      <c r="H288" s="1788"/>
      <c r="I288" s="1666"/>
      <c r="J288" s="1700"/>
      <c r="K288" s="1705"/>
      <c r="L288" s="1788" t="s">
        <v>308</v>
      </c>
      <c r="M288" s="278"/>
      <c r="N288" s="271"/>
      <c r="O288" s="1551"/>
      <c r="P288" s="1551"/>
      <c r="AH288" s="1558">
        <v>0</v>
      </c>
    </row>
    <row r="289" spans="1:34" s="1562" customFormat="1" ht="18.75" hidden="1" customHeight="1">
      <c r="A289" s="1707"/>
      <c r="B289" s="1707"/>
      <c r="C289" s="306" t="s">
        <v>1149</v>
      </c>
      <c r="D289" s="2378"/>
      <c r="E289" s="2175"/>
      <c r="F289" s="2313"/>
      <c r="G289" s="2353"/>
      <c r="H289" s="1427"/>
      <c r="I289" s="588" t="s">
        <v>1148</v>
      </c>
      <c r="J289" s="508"/>
      <c r="K289" s="1427"/>
      <c r="L289" s="151"/>
      <c r="M289" s="278"/>
      <c r="N289" s="271"/>
      <c r="O289" s="1551"/>
      <c r="P289" s="1551"/>
      <c r="AH289" s="1558">
        <v>0</v>
      </c>
    </row>
    <row r="290" spans="1:34" s="1562" customFormat="1" ht="0.75" hidden="1" customHeight="1">
      <c r="A290" s="1707"/>
      <c r="B290" s="1707"/>
      <c r="C290" s="306" t="s">
        <v>1156</v>
      </c>
      <c r="D290" s="2378"/>
      <c r="E290" s="2175"/>
      <c r="F290" s="2313"/>
      <c r="G290" s="337"/>
      <c r="H290" s="1427"/>
      <c r="I290" s="588"/>
      <c r="J290" s="508"/>
      <c r="K290" s="1427"/>
      <c r="L290" s="151"/>
      <c r="M290" s="278"/>
      <c r="N290" s="271"/>
      <c r="O290" s="1551"/>
      <c r="P290" s="1551"/>
      <c r="AH290" s="1558">
        <v>0</v>
      </c>
    </row>
    <row r="291" spans="1:34" s="1562" customFormat="1" ht="18.75" hidden="1" customHeight="1">
      <c r="A291" s="1707" t="s">
        <v>201</v>
      </c>
      <c r="B291" s="1707" t="s">
        <v>202</v>
      </c>
      <c r="C291" s="306"/>
      <c r="D291" s="2378"/>
      <c r="E291" s="2175"/>
      <c r="F291" s="2313" t="str">
        <f>INDEX(PT_DIFFERENTIATION_VTAR,MATCH(A291,PT_DIFFERENTIATION_VTAR_ID,0))</f>
        <v>Плата за подключение (технологическое присоединение) к системе теплоснабжения</v>
      </c>
      <c r="G291" s="2353" t="str">
        <f>INDEX(PT_DIFFERENTIATION_NTAR,MATCH(B291,PT_DIFFERENTIATION_NTAR_ID,0))</f>
        <v/>
      </c>
      <c r="H291" s="1788"/>
      <c r="I291" s="1666"/>
      <c r="J291" s="1700"/>
      <c r="K291" s="1705"/>
      <c r="L291" s="1788" t="s">
        <v>308</v>
      </c>
      <c r="M291" s="278"/>
      <c r="N291" s="271"/>
      <c r="O291" s="1551"/>
      <c r="P291" s="1551"/>
      <c r="AH291" s="1558">
        <v>0</v>
      </c>
    </row>
    <row r="292" spans="1:34" s="1562" customFormat="1" ht="18.75" hidden="1" customHeight="1">
      <c r="A292" s="1707"/>
      <c r="B292" s="1707"/>
      <c r="C292" s="306" t="s">
        <v>1149</v>
      </c>
      <c r="D292" s="2378"/>
      <c r="E292" s="2175"/>
      <c r="F292" s="2313"/>
      <c r="G292" s="2353"/>
      <c r="H292" s="1427"/>
      <c r="I292" s="588" t="s">
        <v>1148</v>
      </c>
      <c r="J292" s="508"/>
      <c r="K292" s="1427"/>
      <c r="L292" s="151"/>
      <c r="M292" s="278"/>
      <c r="N292" s="271"/>
      <c r="O292" s="1551"/>
      <c r="P292" s="1551"/>
      <c r="AH292" s="1558">
        <v>0</v>
      </c>
    </row>
    <row r="293" spans="1:34" s="1562" customFormat="1" ht="0.75" hidden="1" customHeight="1">
      <c r="A293" s="1707"/>
      <c r="B293" s="1707"/>
      <c r="C293" s="306" t="s">
        <v>1156</v>
      </c>
      <c r="D293" s="2378"/>
      <c r="E293" s="2175"/>
      <c r="F293" s="2313"/>
      <c r="G293" s="337"/>
      <c r="H293" s="1427"/>
      <c r="I293" s="588"/>
      <c r="J293" s="508"/>
      <c r="K293" s="1427"/>
      <c r="L293" s="151"/>
      <c r="M293" s="278"/>
      <c r="N293" s="271"/>
      <c r="O293" s="1551"/>
      <c r="P293" s="1551"/>
      <c r="AH293" s="1558">
        <v>0</v>
      </c>
    </row>
    <row r="294" spans="1:34" s="1562" customFormat="1" ht="18.75" hidden="1" customHeight="1">
      <c r="A294" s="1707" t="s">
        <v>207</v>
      </c>
      <c r="B294" s="1707" t="s">
        <v>208</v>
      </c>
      <c r="C294" s="306"/>
      <c r="D294" s="2378"/>
      <c r="E294" s="2175"/>
      <c r="F294" s="2313" t="str">
        <f>INDEX(PT_DIFFERENTIATION_VTAR,MATCH(A294,PT_DIFFERENTIATION_VTAR_ID,0))</f>
        <v>Плата за подключение (технологическое присоединение) к системе теплоснабжения (индивидуальная)</v>
      </c>
      <c r="G294" s="2353" t="str">
        <f>INDEX(PT_DIFFERENTIATION_NTAR,MATCH(B294,PT_DIFFERENTIATION_NTAR_ID,0))</f>
        <v/>
      </c>
      <c r="H294" s="1912"/>
      <c r="I294" s="1666"/>
      <c r="J294" s="1700"/>
      <c r="K294" s="1705"/>
      <c r="L294" s="1912" t="s">
        <v>308</v>
      </c>
      <c r="M294" s="278"/>
      <c r="N294" s="271"/>
      <c r="O294" s="1551"/>
      <c r="P294" s="1551"/>
      <c r="AH294" s="1558">
        <v>0</v>
      </c>
    </row>
    <row r="295" spans="1:34" s="1562" customFormat="1" ht="18.75" hidden="1" customHeight="1">
      <c r="A295" s="1707"/>
      <c r="B295" s="1707"/>
      <c r="C295" s="306" t="s">
        <v>1149</v>
      </c>
      <c r="D295" s="2378"/>
      <c r="E295" s="2175"/>
      <c r="F295" s="2313"/>
      <c r="G295" s="2353"/>
      <c r="H295" s="1427"/>
      <c r="I295" s="588" t="s">
        <v>1148</v>
      </c>
      <c r="J295" s="508"/>
      <c r="K295" s="1427"/>
      <c r="L295" s="151"/>
      <c r="M295" s="278"/>
      <c r="N295" s="271"/>
      <c r="O295" s="1551"/>
      <c r="P295" s="1551"/>
      <c r="AH295" s="1558">
        <v>0</v>
      </c>
    </row>
    <row r="296" spans="1:34" s="1562" customFormat="1" ht="0.75" hidden="1" customHeight="1">
      <c r="A296" s="1707"/>
      <c r="B296" s="1707"/>
      <c r="C296" s="306" t="s">
        <v>1156</v>
      </c>
      <c r="D296" s="2378"/>
      <c r="E296" s="2175"/>
      <c r="F296" s="2313"/>
      <c r="G296" s="337"/>
      <c r="H296" s="1427"/>
      <c r="I296" s="588"/>
      <c r="J296" s="508"/>
      <c r="K296" s="1427"/>
      <c r="L296" s="151"/>
      <c r="M296" s="278"/>
      <c r="N296" s="271"/>
      <c r="O296" s="1551"/>
      <c r="P296" s="1551"/>
      <c r="AH296" s="1558">
        <v>0</v>
      </c>
    </row>
    <row r="297" spans="1:34" s="1562" customFormat="1" ht="18.75" hidden="1" customHeight="1">
      <c r="A297" s="1707" t="s">
        <v>227</v>
      </c>
      <c r="B297" s="1707" t="s">
        <v>228</v>
      </c>
      <c r="C297" s="306"/>
      <c r="D297" s="2378"/>
      <c r="E297" s="2175"/>
      <c r="F297" s="2313" t="str">
        <f>INDEX(PT_DIFFERENTIATION_VTAR,MATCH(A297,PT_DIFFERENTIATION_VTAR_ID,0))</f>
        <v>Тариф на питьевую воду (питьевое водоснабжение)</v>
      </c>
      <c r="G297" s="2353" t="str">
        <f>INDEX(PT_DIFFERENTIATION_NTAR,MATCH(B297,PT_DIFFERENTIATION_NTAR_ID,0))</f>
        <v/>
      </c>
      <c r="H297" s="1788"/>
      <c r="I297" s="1666"/>
      <c r="J297" s="1700"/>
      <c r="K297" s="1705"/>
      <c r="L297" s="1788" t="s">
        <v>308</v>
      </c>
      <c r="M297" s="278"/>
      <c r="N297" s="271"/>
      <c r="O297" s="1551"/>
      <c r="P297" s="1551"/>
      <c r="AH297" s="1558">
        <v>0</v>
      </c>
    </row>
    <row r="298" spans="1:34" s="1562" customFormat="1" ht="18.75" hidden="1" customHeight="1">
      <c r="A298" s="1707"/>
      <c r="B298" s="1707"/>
      <c r="C298" s="306" t="s">
        <v>1149</v>
      </c>
      <c r="D298" s="2378"/>
      <c r="E298" s="2175"/>
      <c r="F298" s="2313"/>
      <c r="G298" s="2353"/>
      <c r="H298" s="1427"/>
      <c r="I298" s="588" t="s">
        <v>1148</v>
      </c>
      <c r="J298" s="508"/>
      <c r="K298" s="1427"/>
      <c r="L298" s="151"/>
      <c r="M298" s="278"/>
      <c r="N298" s="271"/>
      <c r="O298" s="1551"/>
      <c r="P298" s="1551"/>
      <c r="AH298" s="1558">
        <v>0</v>
      </c>
    </row>
    <row r="299" spans="1:34" s="1562" customFormat="1" ht="0.75" hidden="1" customHeight="1">
      <c r="A299" s="1707"/>
      <c r="B299" s="1707"/>
      <c r="C299" s="306" t="s">
        <v>1156</v>
      </c>
      <c r="D299" s="2378"/>
      <c r="E299" s="2175"/>
      <c r="F299" s="2313"/>
      <c r="G299" s="337"/>
      <c r="H299" s="1427"/>
      <c r="I299" s="588"/>
      <c r="J299" s="508"/>
      <c r="K299" s="1427"/>
      <c r="L299" s="151"/>
      <c r="M299" s="278"/>
      <c r="N299" s="271"/>
      <c r="O299" s="1551"/>
      <c r="P299" s="1551"/>
      <c r="AH299" s="1558">
        <v>0</v>
      </c>
    </row>
    <row r="300" spans="1:34" s="1562" customFormat="1" ht="18.75" hidden="1" customHeight="1">
      <c r="A300" s="1707" t="s">
        <v>232</v>
      </c>
      <c r="B300" s="1707" t="s">
        <v>233</v>
      </c>
      <c r="C300" s="306"/>
      <c r="D300" s="2378"/>
      <c r="E300" s="2175"/>
      <c r="F300" s="2313" t="str">
        <f>INDEX(PT_DIFFERENTIATION_VTAR,MATCH(A300,PT_DIFFERENTIATION_VTAR_ID,0))</f>
        <v>Тариф на техническую воду</v>
      </c>
      <c r="G300" s="2353" t="str">
        <f>INDEX(PT_DIFFERENTIATION_NTAR,MATCH(B300,PT_DIFFERENTIATION_NTAR_ID,0))</f>
        <v/>
      </c>
      <c r="H300" s="1788"/>
      <c r="I300" s="1666"/>
      <c r="J300" s="1700"/>
      <c r="K300" s="1705"/>
      <c r="L300" s="1788" t="s">
        <v>308</v>
      </c>
      <c r="M300" s="278"/>
      <c r="N300" s="271"/>
      <c r="O300" s="1551"/>
      <c r="P300" s="1551"/>
      <c r="AH300" s="1558">
        <v>0</v>
      </c>
    </row>
    <row r="301" spans="1:34" s="1562" customFormat="1" ht="18.75" hidden="1" customHeight="1">
      <c r="A301" s="1707"/>
      <c r="B301" s="1707"/>
      <c r="C301" s="306" t="s">
        <v>1149</v>
      </c>
      <c r="D301" s="2378"/>
      <c r="E301" s="2175"/>
      <c r="F301" s="2313"/>
      <c r="G301" s="2353"/>
      <c r="H301" s="1427"/>
      <c r="I301" s="588" t="s">
        <v>1148</v>
      </c>
      <c r="J301" s="508"/>
      <c r="K301" s="1427"/>
      <c r="L301" s="151"/>
      <c r="M301" s="278"/>
      <c r="N301" s="271"/>
      <c r="O301" s="1551"/>
      <c r="P301" s="1551"/>
      <c r="AH301" s="1558">
        <v>0</v>
      </c>
    </row>
    <row r="302" spans="1:34" s="1562" customFormat="1" ht="0.75" hidden="1" customHeight="1">
      <c r="A302" s="1707"/>
      <c r="B302" s="1707"/>
      <c r="C302" s="306" t="s">
        <v>1156</v>
      </c>
      <c r="D302" s="2378"/>
      <c r="E302" s="2175"/>
      <c r="F302" s="2313"/>
      <c r="G302" s="337"/>
      <c r="H302" s="1427"/>
      <c r="I302" s="588"/>
      <c r="J302" s="508"/>
      <c r="K302" s="1427"/>
      <c r="L302" s="151"/>
      <c r="M302" s="278"/>
      <c r="N302" s="271"/>
      <c r="O302" s="1551"/>
      <c r="P302" s="1551"/>
      <c r="AH302" s="1558">
        <v>0</v>
      </c>
    </row>
    <row r="303" spans="1:34" s="1562" customFormat="1" ht="18.75" hidden="1" customHeight="1">
      <c r="A303" s="1707" t="s">
        <v>237</v>
      </c>
      <c r="B303" s="1707" t="s">
        <v>238</v>
      </c>
      <c r="C303" s="306"/>
      <c r="D303" s="2378"/>
      <c r="E303" s="2175"/>
      <c r="F303" s="2313" t="str">
        <f>INDEX(PT_DIFFERENTIATION_VTAR,MATCH(A303,PT_DIFFERENTIATION_VTAR_ID,0))</f>
        <v>Тариф на транспортировку воды</v>
      </c>
      <c r="G303" s="2353" t="str">
        <f>INDEX(PT_DIFFERENTIATION_NTAR,MATCH(B303,PT_DIFFERENTIATION_NTAR_ID,0))</f>
        <v/>
      </c>
      <c r="H303" s="1788"/>
      <c r="I303" s="1666"/>
      <c r="J303" s="1700"/>
      <c r="K303" s="1705"/>
      <c r="L303" s="1788" t="s">
        <v>308</v>
      </c>
      <c r="M303" s="278"/>
      <c r="N303" s="271"/>
      <c r="O303" s="1551"/>
      <c r="P303" s="1551"/>
      <c r="AH303" s="1558">
        <v>0</v>
      </c>
    </row>
    <row r="304" spans="1:34" s="1562" customFormat="1" ht="18.75" hidden="1" customHeight="1">
      <c r="A304" s="1707"/>
      <c r="B304" s="1707"/>
      <c r="C304" s="306" t="s">
        <v>1149</v>
      </c>
      <c r="D304" s="2378"/>
      <c r="E304" s="2175"/>
      <c r="F304" s="2313"/>
      <c r="G304" s="2353"/>
      <c r="H304" s="1427"/>
      <c r="I304" s="588" t="s">
        <v>1148</v>
      </c>
      <c r="J304" s="508"/>
      <c r="K304" s="1427"/>
      <c r="L304" s="151"/>
      <c r="M304" s="278"/>
      <c r="N304" s="271"/>
      <c r="O304" s="1551"/>
      <c r="P304" s="1551"/>
      <c r="AH304" s="1558">
        <v>0</v>
      </c>
    </row>
    <row r="305" spans="1:34" s="1562" customFormat="1" ht="0.75" hidden="1" customHeight="1">
      <c r="A305" s="1707"/>
      <c r="B305" s="1707"/>
      <c r="C305" s="306" t="s">
        <v>1156</v>
      </c>
      <c r="D305" s="2378"/>
      <c r="E305" s="2175"/>
      <c r="F305" s="2313"/>
      <c r="G305" s="337"/>
      <c r="H305" s="1427"/>
      <c r="I305" s="588"/>
      <c r="J305" s="508"/>
      <c r="K305" s="1427"/>
      <c r="L305" s="151"/>
      <c r="M305" s="278"/>
      <c r="N305" s="271"/>
      <c r="O305" s="1551"/>
      <c r="P305" s="1551"/>
      <c r="AH305" s="1558">
        <v>0</v>
      </c>
    </row>
    <row r="306" spans="1:34" s="1562" customFormat="1" ht="18.75" hidden="1" customHeight="1">
      <c r="A306" s="1707" t="s">
        <v>242</v>
      </c>
      <c r="B306" s="1707" t="s">
        <v>243</v>
      </c>
      <c r="C306" s="306"/>
      <c r="D306" s="2378"/>
      <c r="E306" s="2175"/>
      <c r="F306" s="2313" t="str">
        <f>INDEX(PT_DIFFERENTIATION_VTAR,MATCH(A306,PT_DIFFERENTIATION_VTAR_ID,0))</f>
        <v>Тариф на подвоз воды</v>
      </c>
      <c r="G306" s="2353" t="str">
        <f>INDEX(PT_DIFFERENTIATION_NTAR,MATCH(B306,PT_DIFFERENTIATION_NTAR_ID,0))</f>
        <v/>
      </c>
      <c r="H306" s="1788"/>
      <c r="I306" s="1666"/>
      <c r="J306" s="1700"/>
      <c r="K306" s="1705"/>
      <c r="L306" s="1788" t="s">
        <v>308</v>
      </c>
      <c r="M306" s="278"/>
      <c r="N306" s="271"/>
      <c r="O306" s="1551"/>
      <c r="P306" s="1551"/>
      <c r="AH306" s="1558">
        <v>0</v>
      </c>
    </row>
    <row r="307" spans="1:34" s="1562" customFormat="1" ht="18.75" hidden="1" customHeight="1">
      <c r="A307" s="1707"/>
      <c r="B307" s="1707"/>
      <c r="C307" s="306" t="s">
        <v>1149</v>
      </c>
      <c r="D307" s="2378"/>
      <c r="E307" s="2175"/>
      <c r="F307" s="2313"/>
      <c r="G307" s="2353"/>
      <c r="H307" s="1427"/>
      <c r="I307" s="588" t="s">
        <v>1148</v>
      </c>
      <c r="J307" s="508"/>
      <c r="K307" s="1427"/>
      <c r="L307" s="151"/>
      <c r="M307" s="278"/>
      <c r="N307" s="271"/>
      <c r="O307" s="1551"/>
      <c r="P307" s="1551"/>
      <c r="AH307" s="1558">
        <v>0</v>
      </c>
    </row>
    <row r="308" spans="1:34" s="1562" customFormat="1" ht="0.75" hidden="1" customHeight="1">
      <c r="A308" s="1707"/>
      <c r="B308" s="1707"/>
      <c r="C308" s="306" t="s">
        <v>1156</v>
      </c>
      <c r="D308" s="2378"/>
      <c r="E308" s="2175"/>
      <c r="F308" s="2313"/>
      <c r="G308" s="337"/>
      <c r="H308" s="1427"/>
      <c r="I308" s="588"/>
      <c r="J308" s="508"/>
      <c r="K308" s="1427"/>
      <c r="L308" s="151"/>
      <c r="M308" s="278"/>
      <c r="N308" s="271"/>
      <c r="O308" s="1551"/>
      <c r="P308" s="1551"/>
      <c r="AH308" s="1558">
        <v>0</v>
      </c>
    </row>
    <row r="309" spans="1:34" s="1562" customFormat="1" ht="18.75" hidden="1" customHeight="1">
      <c r="A309" s="1707" t="s">
        <v>247</v>
      </c>
      <c r="B309" s="1707" t="s">
        <v>248</v>
      </c>
      <c r="C309" s="306"/>
      <c r="D309" s="2378"/>
      <c r="E309" s="2175"/>
      <c r="F309" s="231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3" t="str">
        <f>INDEX(PT_DIFFERENTIATION_NTAR,MATCH(B309,PT_DIFFERENTIATION_NTAR_ID,0))</f>
        <v/>
      </c>
      <c r="H309" s="1788"/>
      <c r="I309" s="1666"/>
      <c r="J309" s="1700"/>
      <c r="K309" s="1705"/>
      <c r="L309" s="1788" t="s">
        <v>308</v>
      </c>
      <c r="M309" s="278"/>
      <c r="N309" s="271"/>
      <c r="O309" s="1551"/>
      <c r="P309" s="1551"/>
      <c r="AH309" s="1558">
        <v>0</v>
      </c>
    </row>
    <row r="310" spans="1:34" s="1562" customFormat="1" ht="18.75" hidden="1" customHeight="1">
      <c r="A310" s="1707"/>
      <c r="B310" s="1707"/>
      <c r="C310" s="306" t="s">
        <v>1149</v>
      </c>
      <c r="D310" s="2378"/>
      <c r="E310" s="2175"/>
      <c r="F310" s="2313"/>
      <c r="G310" s="2353"/>
      <c r="H310" s="1427"/>
      <c r="I310" s="588" t="s">
        <v>1148</v>
      </c>
      <c r="J310" s="508"/>
      <c r="K310" s="1427"/>
      <c r="L310" s="151"/>
      <c r="M310" s="278"/>
      <c r="N310" s="271"/>
      <c r="O310" s="1551"/>
      <c r="P310" s="1551"/>
      <c r="AH310" s="1558">
        <v>0</v>
      </c>
    </row>
    <row r="311" spans="1:34" s="1562" customFormat="1" ht="0.75" hidden="1" customHeight="1">
      <c r="A311" s="1707"/>
      <c r="B311" s="1707"/>
      <c r="C311" s="306" t="s">
        <v>1156</v>
      </c>
      <c r="D311" s="2378"/>
      <c r="E311" s="2175"/>
      <c r="F311" s="2313"/>
      <c r="G311" s="337"/>
      <c r="H311" s="1427"/>
      <c r="I311" s="588"/>
      <c r="J311" s="508"/>
      <c r="K311" s="1427"/>
      <c r="L311" s="151"/>
      <c r="M311" s="278"/>
      <c r="N311" s="271"/>
      <c r="O311" s="1551"/>
      <c r="P311" s="1551"/>
      <c r="AH311" s="1558">
        <v>0</v>
      </c>
    </row>
    <row r="312" spans="1:34" s="1562" customFormat="1" ht="18.75" hidden="1" customHeight="1">
      <c r="A312" s="1707" t="s">
        <v>252</v>
      </c>
      <c r="B312" s="1707" t="s">
        <v>253</v>
      </c>
      <c r="C312" s="306"/>
      <c r="D312" s="2378"/>
      <c r="E312" s="2175"/>
      <c r="F312" s="2313" t="str">
        <f>INDEX(PT_DIFFERENTIATION_VTAR,MATCH(A312,PT_DIFFERENTIATION_VTAR_ID,0))</f>
        <v>Тариф на горячую воду (горячее водоснабжение)</v>
      </c>
      <c r="G312" s="2353" t="str">
        <f>INDEX(PT_DIFFERENTIATION_NTAR,MATCH(B312,PT_DIFFERENTIATION_NTAR_ID,0))</f>
        <v/>
      </c>
      <c r="H312" s="1788"/>
      <c r="I312" s="1666"/>
      <c r="J312" s="1700"/>
      <c r="K312" s="1705"/>
      <c r="L312" s="1788" t="s">
        <v>308</v>
      </c>
      <c r="M312" s="278"/>
      <c r="N312" s="271"/>
      <c r="O312" s="1551"/>
      <c r="P312" s="1551"/>
      <c r="AH312" s="1558">
        <v>0</v>
      </c>
    </row>
    <row r="313" spans="1:34" s="1562" customFormat="1" ht="18.75" hidden="1" customHeight="1">
      <c r="A313" s="1707"/>
      <c r="B313" s="1707"/>
      <c r="C313" s="306" t="s">
        <v>1149</v>
      </c>
      <c r="D313" s="2378"/>
      <c r="E313" s="2175"/>
      <c r="F313" s="2313"/>
      <c r="G313" s="2353"/>
      <c r="H313" s="1427"/>
      <c r="I313" s="588" t="s">
        <v>1148</v>
      </c>
      <c r="J313" s="508"/>
      <c r="K313" s="1427"/>
      <c r="L313" s="151"/>
      <c r="M313" s="278"/>
      <c r="N313" s="271"/>
      <c r="O313" s="1551"/>
      <c r="P313" s="1551"/>
      <c r="AH313" s="1558">
        <v>0</v>
      </c>
    </row>
    <row r="314" spans="1:34" s="1562" customFormat="1" ht="0.75" hidden="1" customHeight="1">
      <c r="A314" s="1707"/>
      <c r="B314" s="1707"/>
      <c r="C314" s="306" t="s">
        <v>1156</v>
      </c>
      <c r="D314" s="2378"/>
      <c r="E314" s="2175"/>
      <c r="F314" s="2313"/>
      <c r="G314" s="337"/>
      <c r="H314" s="1427"/>
      <c r="I314" s="588"/>
      <c r="J314" s="508"/>
      <c r="K314" s="1427"/>
      <c r="L314" s="151"/>
      <c r="M314" s="278"/>
      <c r="N314" s="271"/>
      <c r="O314" s="1551"/>
      <c r="P314" s="1551"/>
      <c r="AH314" s="1558">
        <v>0</v>
      </c>
    </row>
    <row r="315" spans="1:34" s="1562" customFormat="1" ht="18.75" hidden="1" customHeight="1">
      <c r="A315" s="1707" t="s">
        <v>257</v>
      </c>
      <c r="B315" s="1707" t="s">
        <v>258</v>
      </c>
      <c r="C315" s="306"/>
      <c r="D315" s="2378"/>
      <c r="E315" s="2175"/>
      <c r="F315" s="2313" t="str">
        <f>INDEX(PT_DIFFERENTIATION_VTAR,MATCH(A315,PT_DIFFERENTIATION_VTAR_ID,0))</f>
        <v>Тариф на транспортировку горячей воды</v>
      </c>
      <c r="G315" s="2353" t="str">
        <f>INDEX(PT_DIFFERENTIATION_NTAR,MATCH(B315,PT_DIFFERENTIATION_NTAR_ID,0))</f>
        <v/>
      </c>
      <c r="H315" s="1788"/>
      <c r="I315" s="1666"/>
      <c r="J315" s="1700"/>
      <c r="K315" s="1705"/>
      <c r="L315" s="1788" t="s">
        <v>308</v>
      </c>
      <c r="M315" s="278"/>
      <c r="N315" s="271"/>
      <c r="O315" s="1551"/>
      <c r="P315" s="1551"/>
      <c r="AH315" s="1558">
        <v>0</v>
      </c>
    </row>
    <row r="316" spans="1:34" s="1562" customFormat="1" ht="18.75" hidden="1" customHeight="1">
      <c r="A316" s="1707"/>
      <c r="B316" s="1707"/>
      <c r="C316" s="306" t="s">
        <v>1149</v>
      </c>
      <c r="D316" s="2378"/>
      <c r="E316" s="2175"/>
      <c r="F316" s="2313"/>
      <c r="G316" s="2353"/>
      <c r="H316" s="1427"/>
      <c r="I316" s="588" t="s">
        <v>1148</v>
      </c>
      <c r="J316" s="508"/>
      <c r="K316" s="1427"/>
      <c r="L316" s="151"/>
      <c r="M316" s="278"/>
      <c r="N316" s="271"/>
      <c r="O316" s="1551"/>
      <c r="P316" s="1551"/>
      <c r="AH316" s="1558">
        <v>0</v>
      </c>
    </row>
    <row r="317" spans="1:34" s="1562" customFormat="1" ht="0.75" hidden="1" customHeight="1">
      <c r="A317" s="1707"/>
      <c r="B317" s="1707"/>
      <c r="C317" s="306" t="s">
        <v>1156</v>
      </c>
      <c r="D317" s="2378"/>
      <c r="E317" s="2175"/>
      <c r="F317" s="2313"/>
      <c r="G317" s="337"/>
      <c r="H317" s="1427"/>
      <c r="I317" s="588"/>
      <c r="J317" s="508"/>
      <c r="K317" s="1427"/>
      <c r="L317" s="151"/>
      <c r="M317" s="278"/>
      <c r="N317" s="271"/>
      <c r="O317" s="1551"/>
      <c r="P317" s="1551"/>
      <c r="AH317" s="1558">
        <v>0</v>
      </c>
    </row>
    <row r="318" spans="1:34" s="1562" customFormat="1" ht="18.75" hidden="1" customHeight="1">
      <c r="A318" s="1707" t="s">
        <v>262</v>
      </c>
      <c r="B318" s="1707" t="s">
        <v>263</v>
      </c>
      <c r="C318" s="306"/>
      <c r="D318" s="2378"/>
      <c r="E318" s="2175"/>
      <c r="F318" s="231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3" t="str">
        <f>INDEX(PT_DIFFERENTIATION_NTAR,MATCH(B318,PT_DIFFERENTIATION_NTAR_ID,0))</f>
        <v/>
      </c>
      <c r="H318" s="1788"/>
      <c r="I318" s="1666"/>
      <c r="J318" s="1700"/>
      <c r="K318" s="1705"/>
      <c r="L318" s="1788" t="s">
        <v>308</v>
      </c>
      <c r="M318" s="278"/>
      <c r="N318" s="271"/>
      <c r="O318" s="1551"/>
      <c r="P318" s="1551"/>
      <c r="AH318" s="1558">
        <v>0</v>
      </c>
    </row>
    <row r="319" spans="1:34" s="1562" customFormat="1" ht="18.75" hidden="1" customHeight="1">
      <c r="A319" s="1707"/>
      <c r="B319" s="1707"/>
      <c r="C319" s="306" t="s">
        <v>1149</v>
      </c>
      <c r="D319" s="2378"/>
      <c r="E319" s="2175"/>
      <c r="F319" s="2313"/>
      <c r="G319" s="2353"/>
      <c r="H319" s="1427"/>
      <c r="I319" s="588" t="s">
        <v>1148</v>
      </c>
      <c r="J319" s="508"/>
      <c r="K319" s="1427"/>
      <c r="L319" s="151"/>
      <c r="M319" s="278"/>
      <c r="N319" s="271"/>
      <c r="O319" s="1551"/>
      <c r="P319" s="1551"/>
      <c r="AH319" s="1558">
        <v>0</v>
      </c>
    </row>
    <row r="320" spans="1:34" s="1562" customFormat="1" ht="0.75" hidden="1" customHeight="1">
      <c r="A320" s="1707"/>
      <c r="B320" s="1707"/>
      <c r="C320" s="306" t="s">
        <v>1156</v>
      </c>
      <c r="D320" s="2378"/>
      <c r="E320" s="2175"/>
      <c r="F320" s="2313"/>
      <c r="G320" s="337"/>
      <c r="H320" s="1427"/>
      <c r="I320" s="588"/>
      <c r="J320" s="508"/>
      <c r="K320" s="1427"/>
      <c r="L320" s="151"/>
      <c r="M320" s="278"/>
      <c r="N320" s="271"/>
      <c r="O320" s="1551"/>
      <c r="P320" s="1551"/>
      <c r="AH320" s="1558">
        <v>0</v>
      </c>
    </row>
    <row r="321" spans="1:34" s="1562" customFormat="1" ht="18.75" hidden="1" customHeight="1">
      <c r="A321" s="1707" t="s">
        <v>267</v>
      </c>
      <c r="B321" s="1707" t="s">
        <v>268</v>
      </c>
      <c r="C321" s="306"/>
      <c r="D321" s="2378"/>
      <c r="E321" s="2175"/>
      <c r="F321" s="2313" t="str">
        <f>INDEX(PT_DIFFERENTIATION_VTAR,MATCH(A321,PT_DIFFERENTIATION_VTAR_ID,0))</f>
        <v>Тариф на водоотведение</v>
      </c>
      <c r="G321" s="2353" t="str">
        <f>INDEX(PT_DIFFERENTIATION_NTAR,MATCH(B321,PT_DIFFERENTIATION_NTAR_ID,0))</f>
        <v/>
      </c>
      <c r="H321" s="1788"/>
      <c r="I321" s="1666"/>
      <c r="J321" s="1700"/>
      <c r="K321" s="1705"/>
      <c r="L321" s="1788" t="s">
        <v>308</v>
      </c>
      <c r="M321" s="278"/>
      <c r="N321" s="271"/>
      <c r="O321" s="1551"/>
      <c r="P321" s="1551"/>
      <c r="AH321" s="1558">
        <v>0</v>
      </c>
    </row>
    <row r="322" spans="1:34" s="1562" customFormat="1" ht="18.75" hidden="1" customHeight="1">
      <c r="A322" s="1707"/>
      <c r="B322" s="1707"/>
      <c r="C322" s="306" t="s">
        <v>1149</v>
      </c>
      <c r="D322" s="2378"/>
      <c r="E322" s="2175"/>
      <c r="F322" s="2313"/>
      <c r="G322" s="2353"/>
      <c r="H322" s="1427"/>
      <c r="I322" s="588" t="s">
        <v>1148</v>
      </c>
      <c r="J322" s="508"/>
      <c r="K322" s="1427"/>
      <c r="L322" s="151"/>
      <c r="M322" s="278"/>
      <c r="N322" s="271"/>
      <c r="O322" s="1551"/>
      <c r="P322" s="1551"/>
      <c r="AH322" s="1558">
        <v>0</v>
      </c>
    </row>
    <row r="323" spans="1:34" s="1562" customFormat="1" ht="0.75" hidden="1" customHeight="1">
      <c r="A323" s="1707"/>
      <c r="B323" s="1707"/>
      <c r="C323" s="306" t="s">
        <v>1156</v>
      </c>
      <c r="D323" s="2378"/>
      <c r="E323" s="2175"/>
      <c r="F323" s="2313"/>
      <c r="G323" s="337"/>
      <c r="H323" s="1427"/>
      <c r="I323" s="588"/>
      <c r="J323" s="508"/>
      <c r="K323" s="1427"/>
      <c r="L323" s="151"/>
      <c r="M323" s="278"/>
      <c r="N323" s="271"/>
      <c r="O323" s="1551"/>
      <c r="P323" s="1551"/>
      <c r="AH323" s="1558">
        <v>0</v>
      </c>
    </row>
    <row r="324" spans="1:34" s="1562" customFormat="1" ht="18.75" hidden="1" customHeight="1">
      <c r="A324" s="1707" t="s">
        <v>272</v>
      </c>
      <c r="B324" s="1707" t="s">
        <v>273</v>
      </c>
      <c r="C324" s="306"/>
      <c r="D324" s="2378"/>
      <c r="E324" s="2175"/>
      <c r="F324" s="2313" t="str">
        <f>INDEX(PT_DIFFERENTIATION_VTAR,MATCH(A324,PT_DIFFERENTIATION_VTAR_ID,0))</f>
        <v>Тариф на транспортировку сточных вод</v>
      </c>
      <c r="G324" s="2353" t="str">
        <f>INDEX(PT_DIFFERENTIATION_NTAR,MATCH(B324,PT_DIFFERENTIATION_NTAR_ID,0))</f>
        <v/>
      </c>
      <c r="H324" s="1788"/>
      <c r="I324" s="1666"/>
      <c r="J324" s="1700"/>
      <c r="K324" s="1705"/>
      <c r="L324" s="1788" t="s">
        <v>308</v>
      </c>
      <c r="M324" s="278"/>
      <c r="N324" s="271"/>
      <c r="O324" s="1551"/>
      <c r="P324" s="1551"/>
      <c r="AH324" s="1558">
        <v>0</v>
      </c>
    </row>
    <row r="325" spans="1:34" s="1562" customFormat="1" ht="18.75" hidden="1" customHeight="1">
      <c r="A325" s="1707"/>
      <c r="B325" s="1707"/>
      <c r="C325" s="306" t="s">
        <v>1149</v>
      </c>
      <c r="D325" s="2378"/>
      <c r="E325" s="2175"/>
      <c r="F325" s="2313"/>
      <c r="G325" s="2353"/>
      <c r="H325" s="1427"/>
      <c r="I325" s="588" t="s">
        <v>1148</v>
      </c>
      <c r="J325" s="508"/>
      <c r="K325" s="1427"/>
      <c r="L325" s="151"/>
      <c r="M325" s="278"/>
      <c r="N325" s="271"/>
      <c r="O325" s="1551"/>
      <c r="P325" s="1551"/>
      <c r="AH325" s="1558">
        <v>0</v>
      </c>
    </row>
    <row r="326" spans="1:34" s="1562" customFormat="1" ht="0.75" hidden="1" customHeight="1">
      <c r="A326" s="1707"/>
      <c r="B326" s="1707"/>
      <c r="C326" s="306" t="s">
        <v>1156</v>
      </c>
      <c r="D326" s="2378"/>
      <c r="E326" s="2175"/>
      <c r="F326" s="2313"/>
      <c r="G326" s="337"/>
      <c r="H326" s="1427"/>
      <c r="I326" s="588"/>
      <c r="J326" s="508"/>
      <c r="K326" s="1427"/>
      <c r="L326" s="151"/>
      <c r="M326" s="278"/>
      <c r="N326" s="271"/>
      <c r="O326" s="1551"/>
      <c r="P326" s="1551"/>
      <c r="AH326" s="1558">
        <v>0</v>
      </c>
    </row>
    <row r="327" spans="1:34" s="1562" customFormat="1" ht="18.75" hidden="1" customHeight="1">
      <c r="A327" s="1707" t="s">
        <v>277</v>
      </c>
      <c r="B327" s="1707" t="s">
        <v>278</v>
      </c>
      <c r="C327" s="306"/>
      <c r="D327" s="2378"/>
      <c r="E327" s="2175"/>
      <c r="F327" s="2313" t="str">
        <f>INDEX(PT_DIFFERENTIATION_VTAR,MATCH(A327,PT_DIFFERENTIATION_VTAR_ID,0))</f>
        <v>Тариф на подключение (технологическое присоединение) к централизованной системе водоотведения</v>
      </c>
      <c r="G327" s="2353" t="str">
        <f>INDEX(PT_DIFFERENTIATION_NTAR,MATCH(B327,PT_DIFFERENTIATION_NTAR_ID,0))</f>
        <v/>
      </c>
      <c r="H327" s="1788"/>
      <c r="I327" s="1666"/>
      <c r="J327" s="1700"/>
      <c r="K327" s="1705"/>
      <c r="L327" s="1788" t="s">
        <v>308</v>
      </c>
      <c r="M327" s="278"/>
      <c r="N327" s="271"/>
      <c r="O327" s="1551"/>
      <c r="P327" s="1551"/>
      <c r="AH327" s="1558">
        <v>0</v>
      </c>
    </row>
    <row r="328" spans="1:34" s="1562" customFormat="1" ht="18.75" hidden="1" customHeight="1">
      <c r="A328" s="1707"/>
      <c r="B328" s="1707"/>
      <c r="C328" s="306" t="s">
        <v>1149</v>
      </c>
      <c r="D328" s="2378"/>
      <c r="E328" s="2175"/>
      <c r="F328" s="2313"/>
      <c r="G328" s="2353"/>
      <c r="H328" s="1427"/>
      <c r="I328" s="588" t="s">
        <v>1148</v>
      </c>
      <c r="J328" s="508"/>
      <c r="K328" s="1427"/>
      <c r="L328" s="151"/>
      <c r="M328" s="278"/>
      <c r="N328" s="271"/>
      <c r="O328" s="1551"/>
      <c r="P328" s="1551"/>
      <c r="AH328" s="1558">
        <v>0</v>
      </c>
    </row>
    <row r="329" spans="1:34" s="1562" customFormat="1" ht="1.1499999999999999" customHeight="1">
      <c r="A329" s="1707"/>
      <c r="B329" s="1707"/>
      <c r="C329" s="306" t="s">
        <v>1156</v>
      </c>
      <c r="D329" s="2378"/>
      <c r="E329" s="2175"/>
      <c r="F329" s="2313"/>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218"/>
      <c r="G331" s="2218"/>
      <c r="H331" s="2218"/>
      <c r="I331" s="2218"/>
      <c r="J331" s="2218"/>
      <c r="K331" s="2218"/>
      <c r="L331" s="2218"/>
      <c r="M331" s="2218"/>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120</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41"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42"/>
      <c r="F5" s="2142"/>
      <c r="G5" s="2143"/>
      <c r="H5" s="203"/>
      <c r="R5" s="311">
        <v>33</v>
      </c>
    </row>
    <row r="6" spans="1:18" s="1562" customFormat="1" ht="18" customHeight="1">
      <c r="A6" s="1596"/>
      <c r="B6" s="1087"/>
      <c r="C6" s="313"/>
      <c r="D6" s="2194" t="str">
        <f>IF(org=0,"Не определено",org)</f>
        <v>МУП "Михайловское водопроводно-канализационное хозяйство"</v>
      </c>
      <c r="E6" s="2195"/>
      <c r="F6" s="2195"/>
      <c r="G6" s="2196"/>
      <c r="H6" s="203"/>
      <c r="J6" s="1551"/>
      <c r="K6" s="1551"/>
      <c r="R6" s="1558">
        <v>17</v>
      </c>
    </row>
    <row r="7" spans="1:18" ht="14.65" customHeight="1">
      <c r="C7" s="313"/>
      <c r="D7" s="300"/>
      <c r="E7" s="326"/>
      <c r="F7" s="326"/>
      <c r="G7" s="689"/>
      <c r="H7" s="130"/>
      <c r="R7" s="311">
        <v>14</v>
      </c>
    </row>
    <row r="8" spans="1:18" ht="14.65" customHeight="1">
      <c r="C8" s="313"/>
      <c r="D8" s="2180" t="s">
        <v>302</v>
      </c>
      <c r="E8" s="2180"/>
      <c r="F8" s="2180"/>
      <c r="G8" s="2180"/>
      <c r="H8" s="2326" t="s">
        <v>303</v>
      </c>
      <c r="R8" s="311">
        <v>14</v>
      </c>
    </row>
    <row r="9" spans="1:18" ht="24" customHeight="1">
      <c r="C9" s="313"/>
      <c r="D9" s="323" t="s">
        <v>87</v>
      </c>
      <c r="E9" s="47" t="s">
        <v>304</v>
      </c>
      <c r="F9" s="47" t="s">
        <v>305</v>
      </c>
      <c r="G9" s="47" t="s">
        <v>392</v>
      </c>
      <c r="H9" s="2326"/>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35" t="s">
        <v>1157</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36"/>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3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36"/>
      <c r="I13" s="287"/>
      <c r="K13" s="311"/>
      <c r="R13" s="311">
        <v>14</v>
      </c>
    </row>
    <row r="14" spans="1:18" ht="14.65" customHeight="1">
      <c r="A14" s="280"/>
      <c r="C14" s="313"/>
      <c r="D14" s="284"/>
      <c r="E14" s="332" t="s">
        <v>324</v>
      </c>
      <c r="F14" s="286"/>
      <c r="G14" s="138"/>
      <c r="H14" s="2137"/>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18"/>
      <c r="F16" s="2218"/>
      <c r="G16" s="2218"/>
      <c r="H16" s="2218"/>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4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42"/>
      <c r="F5" s="2142"/>
      <c r="G5" s="2142"/>
      <c r="H5" s="2142"/>
      <c r="I5" s="2142"/>
      <c r="J5" s="2143"/>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47" t="str">
        <f>IF(org=0,"Не определено",org)</f>
        <v>МУП "Михайловское водопроводно-канализационное хозяйство"</v>
      </c>
      <c r="E6" s="2147"/>
      <c r="F6" s="2147"/>
      <c r="G6" s="2147"/>
      <c r="H6" s="2147"/>
      <c r="I6" s="2147"/>
      <c r="J6" s="214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44"/>
      <c r="E7" s="2145"/>
      <c r="F7" s="2145"/>
      <c r="G7" s="2145"/>
      <c r="H7" s="2145"/>
      <c r="I7" s="2145"/>
      <c r="J7" s="2146"/>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91" t="s">
        <v>87</v>
      </c>
      <c r="E9" s="2073" t="s">
        <v>126</v>
      </c>
      <c r="F9" s="2072"/>
      <c r="G9" s="2091" t="s">
        <v>104</v>
      </c>
      <c r="H9" s="2091" t="s">
        <v>87</v>
      </c>
      <c r="I9" s="2091"/>
      <c r="J9" s="2091" t="s">
        <v>127</v>
      </c>
      <c r="K9" s="2148" t="s">
        <v>128</v>
      </c>
      <c r="L9" s="2148"/>
      <c r="M9" s="2148"/>
      <c r="N9" s="2148"/>
      <c r="O9" s="2148" t="s">
        <v>129</v>
      </c>
      <c r="P9" s="2148"/>
      <c r="Q9" s="2148"/>
      <c r="R9" s="2148"/>
      <c r="S9" s="2148" t="s">
        <v>130</v>
      </c>
      <c r="T9" s="2148"/>
      <c r="U9" s="2148"/>
      <c r="V9" s="2148"/>
      <c r="W9" s="2091" t="s">
        <v>131</v>
      </c>
      <c r="AR9" s="43">
        <v>27</v>
      </c>
    </row>
    <row r="10" spans="1:44" ht="31.5" customHeight="1">
      <c r="D10" s="2091"/>
      <c r="E10" s="1211" t="s">
        <v>88</v>
      </c>
      <c r="F10" s="1211" t="s">
        <v>132</v>
      </c>
      <c r="G10" s="2091"/>
      <c r="H10" s="2091"/>
      <c r="I10" s="2091"/>
      <c r="J10" s="2091"/>
      <c r="K10" s="49" t="s">
        <v>107</v>
      </c>
      <c r="L10" s="2091" t="s">
        <v>87</v>
      </c>
      <c r="M10" s="2091"/>
      <c r="N10" s="49" t="s">
        <v>133</v>
      </c>
      <c r="O10" s="49" t="s">
        <v>107</v>
      </c>
      <c r="P10" s="2091" t="s">
        <v>87</v>
      </c>
      <c r="Q10" s="2091"/>
      <c r="R10" s="49" t="s">
        <v>133</v>
      </c>
      <c r="S10" s="220" t="s">
        <v>107</v>
      </c>
      <c r="T10" s="2091" t="s">
        <v>87</v>
      </c>
      <c r="U10" s="2091"/>
      <c r="V10" s="220" t="s">
        <v>88</v>
      </c>
      <c r="W10" s="2091"/>
      <c r="Z10" s="1186" t="s">
        <v>134</v>
      </c>
      <c r="AA10" s="1186" t="s">
        <v>135</v>
      </c>
      <c r="AB10" s="1186" t="s">
        <v>136</v>
      </c>
      <c r="AC10" s="1186" t="s">
        <v>137</v>
      </c>
      <c r="AD10" s="1186" t="s">
        <v>138</v>
      </c>
      <c r="AE10" s="1186" t="s">
        <v>139</v>
      </c>
      <c r="AF10" s="1186" t="s">
        <v>140</v>
      </c>
      <c r="AG10" s="1186" t="s">
        <v>141</v>
      </c>
      <c r="AH10" s="1186" t="s">
        <v>142</v>
      </c>
      <c r="AI10" s="1186" t="s">
        <v>143</v>
      </c>
      <c r="AJ10" s="1186" t="s">
        <v>144</v>
      </c>
      <c r="AK10" s="1186" t="s">
        <v>145</v>
      </c>
      <c r="AL10" s="1186" t="s">
        <v>146</v>
      </c>
      <c r="AM10" s="1186" t="s">
        <v>147</v>
      </c>
      <c r="AN10" s="1186" t="s">
        <v>148</v>
      </c>
      <c r="AO10" s="1186" t="s">
        <v>149</v>
      </c>
      <c r="AP10" s="1186" t="s">
        <v>150</v>
      </c>
      <c r="AQ10" s="1186" t="s">
        <v>151</v>
      </c>
      <c r="AR10" s="43">
        <v>30</v>
      </c>
    </row>
    <row r="11" spans="1:44" s="1551" customFormat="1" ht="12" hidden="1" customHeight="1">
      <c r="D11" s="1176" t="s">
        <v>108</v>
      </c>
      <c r="E11" s="1176" t="s">
        <v>109</v>
      </c>
      <c r="F11" s="1176"/>
      <c r="G11" s="1176" t="s">
        <v>89</v>
      </c>
      <c r="H11" s="2140" t="s">
        <v>110</v>
      </c>
      <c r="I11" s="2140"/>
      <c r="J11" s="1176" t="s">
        <v>91</v>
      </c>
      <c r="K11" s="1176" t="s">
        <v>92</v>
      </c>
      <c r="L11" s="2140" t="s">
        <v>111</v>
      </c>
      <c r="M11" s="2140"/>
      <c r="N11" s="1176" t="s">
        <v>152</v>
      </c>
      <c r="O11" s="1176" t="s">
        <v>153</v>
      </c>
      <c r="P11" s="2140" t="s">
        <v>154</v>
      </c>
      <c r="Q11" s="2140"/>
      <c r="R11" s="1176" t="s">
        <v>155</v>
      </c>
      <c r="S11" s="1176" t="s">
        <v>154</v>
      </c>
      <c r="T11" s="2140" t="s">
        <v>155</v>
      </c>
      <c r="U11" s="2140"/>
      <c r="V11" s="1176" t="s">
        <v>156</v>
      </c>
      <c r="W11" s="1176" t="s">
        <v>157</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125">
        <v>1</v>
      </c>
      <c r="E13" s="2114" t="s">
        <v>158</v>
      </c>
      <c r="F13" s="2126" t="s">
        <v>19</v>
      </c>
      <c r="G13" s="2114"/>
      <c r="H13" s="2116"/>
      <c r="I13" s="2118"/>
      <c r="J13" s="2120"/>
      <c r="K13" s="2112"/>
      <c r="L13" s="2112"/>
      <c r="M13" s="2112"/>
      <c r="N13" s="2123"/>
      <c r="O13" s="2112"/>
      <c r="P13" s="2112"/>
      <c r="Q13" s="2112"/>
      <c r="R13" s="2110"/>
      <c r="S13" s="2112"/>
      <c r="T13" s="1347"/>
      <c r="U13" s="1347"/>
      <c r="V13" s="1346"/>
      <c r="W13" s="1223"/>
      <c r="Y13" s="1194"/>
      <c r="Z13" s="1194"/>
      <c r="AA13" s="1194"/>
      <c r="AB13" s="1194"/>
      <c r="AC13" s="1194" t="s">
        <v>159</v>
      </c>
      <c r="AD13" s="1194" t="s">
        <v>160</v>
      </c>
      <c r="AE13" s="1194" t="s">
        <v>161</v>
      </c>
      <c r="AF13" s="1194" t="s">
        <v>162</v>
      </c>
      <c r="AG13" s="1194" t="s">
        <v>163</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125"/>
      <c r="E14" s="2114"/>
      <c r="F14" s="2127"/>
      <c r="G14" s="2114"/>
      <c r="H14" s="2117"/>
      <c r="I14" s="2119"/>
      <c r="J14" s="2121"/>
      <c r="K14" s="2113"/>
      <c r="L14" s="2113"/>
      <c r="M14" s="2113"/>
      <c r="N14" s="2124"/>
      <c r="O14" s="2113"/>
      <c r="P14" s="2113"/>
      <c r="Q14" s="2113"/>
      <c r="R14" s="2111"/>
      <c r="S14" s="2113"/>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125"/>
      <c r="E15" s="2114"/>
      <c r="F15" s="2127"/>
      <c r="G15" s="2114"/>
      <c r="H15" s="2117"/>
      <c r="I15" s="2119"/>
      <c r="J15" s="2122"/>
      <c r="K15" s="2113"/>
      <c r="L15" s="2113"/>
      <c r="M15" s="2113"/>
      <c r="N15" s="2111"/>
      <c r="O15" s="2113"/>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125"/>
      <c r="E16" s="2114"/>
      <c r="F16" s="2127"/>
      <c r="G16" s="2114"/>
      <c r="H16" s="2117"/>
      <c r="I16" s="2119"/>
      <c r="J16" s="2122"/>
      <c r="K16" s="2113"/>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100"/>
      <c r="E17" s="2115"/>
      <c r="F17" s="2128"/>
      <c r="G17" s="2115"/>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125">
        <v>2</v>
      </c>
      <c r="E18" s="2138"/>
      <c r="F18" s="2126" t="s">
        <v>19</v>
      </c>
      <c r="G18" s="2114"/>
      <c r="H18" s="2116"/>
      <c r="I18" s="2118"/>
      <c r="J18" s="2120"/>
      <c r="K18" s="2112"/>
      <c r="L18" s="2112"/>
      <c r="M18" s="2112"/>
      <c r="N18" s="2123"/>
      <c r="O18" s="2112"/>
      <c r="P18" s="2112"/>
      <c r="Q18" s="2112"/>
      <c r="R18" s="2110"/>
      <c r="S18" s="2112"/>
      <c r="T18" s="1347"/>
      <c r="U18" s="1347"/>
      <c r="V18" s="1346"/>
      <c r="W18" s="1223"/>
      <c r="X18" s="1194"/>
      <c r="Y18" s="1194"/>
      <c r="Z18" s="1194"/>
      <c r="AA18" s="1194"/>
      <c r="AB18" s="1194"/>
      <c r="AC18" s="1194" t="s">
        <v>164</v>
      </c>
      <c r="AD18" s="1194" t="s">
        <v>165</v>
      </c>
      <c r="AE18" s="1194" t="s">
        <v>166</v>
      </c>
      <c r="AF18" s="1194" t="s">
        <v>167</v>
      </c>
      <c r="AG18" s="1194" t="s">
        <v>168</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125"/>
      <c r="E19" s="2138"/>
      <c r="F19" s="2127"/>
      <c r="G19" s="2114"/>
      <c r="H19" s="2117"/>
      <c r="I19" s="2119"/>
      <c r="J19" s="2121"/>
      <c r="K19" s="2113"/>
      <c r="L19" s="2113"/>
      <c r="M19" s="2113"/>
      <c r="N19" s="2124"/>
      <c r="O19" s="2113"/>
      <c r="P19" s="2113"/>
      <c r="Q19" s="2113"/>
      <c r="R19" s="2111"/>
      <c r="S19" s="2113"/>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100"/>
      <c r="E20" s="2139"/>
      <c r="F20" s="2127"/>
      <c r="G20" s="2115"/>
      <c r="H20" s="2117"/>
      <c r="I20" s="2119"/>
      <c r="J20" s="2122"/>
      <c r="K20" s="2113"/>
      <c r="L20" s="2113"/>
      <c r="M20" s="2113"/>
      <c r="N20" s="2111"/>
      <c r="O20" s="2113"/>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100"/>
      <c r="E21" s="2139"/>
      <c r="F21" s="2127"/>
      <c r="G21" s="2115"/>
      <c r="H21" s="2117"/>
      <c r="I21" s="2119"/>
      <c r="J21" s="2122"/>
      <c r="K21" s="2113"/>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100"/>
      <c r="E22" s="2139"/>
      <c r="F22" s="2128"/>
      <c r="G22" s="2115"/>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125">
        <v>2</v>
      </c>
      <c r="E23" s="2114" t="s">
        <v>169</v>
      </c>
      <c r="F23" s="2126" t="s">
        <v>19</v>
      </c>
      <c r="G23" s="2114"/>
      <c r="H23" s="2116"/>
      <c r="I23" s="2118"/>
      <c r="J23" s="2120"/>
      <c r="K23" s="2112"/>
      <c r="L23" s="2112"/>
      <c r="M23" s="2112"/>
      <c r="N23" s="2123"/>
      <c r="O23" s="2112"/>
      <c r="P23" s="2112"/>
      <c r="Q23" s="2112"/>
      <c r="R23" s="2110"/>
      <c r="S23" s="2112"/>
      <c r="T23" s="1921"/>
      <c r="U23" s="1921"/>
      <c r="V23" s="1923"/>
      <c r="W23" s="1223"/>
      <c r="X23" s="1194"/>
      <c r="Y23" s="1194"/>
      <c r="Z23" s="1194"/>
      <c r="AA23" s="1194"/>
      <c r="AB23" s="1194"/>
      <c r="AC23" s="1194" t="s">
        <v>164</v>
      </c>
      <c r="AD23" s="1194" t="s">
        <v>165</v>
      </c>
      <c r="AE23" s="1194" t="s">
        <v>166</v>
      </c>
      <c r="AF23" s="1194" t="s">
        <v>167</v>
      </c>
      <c r="AG23" s="1194" t="s">
        <v>168</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125"/>
      <c r="E24" s="2114"/>
      <c r="F24" s="2127"/>
      <c r="G24" s="2114"/>
      <c r="H24" s="2117"/>
      <c r="I24" s="2119"/>
      <c r="J24" s="2121"/>
      <c r="K24" s="2113"/>
      <c r="L24" s="2113"/>
      <c r="M24" s="2113"/>
      <c r="N24" s="2124"/>
      <c r="O24" s="2113"/>
      <c r="P24" s="2113"/>
      <c r="Q24" s="2113"/>
      <c r="R24" s="2111"/>
      <c r="S24" s="2113"/>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100"/>
      <c r="E25" s="2115"/>
      <c r="F25" s="2127"/>
      <c r="G25" s="2115"/>
      <c r="H25" s="2117"/>
      <c r="I25" s="2119"/>
      <c r="J25" s="2122"/>
      <c r="K25" s="2113"/>
      <c r="L25" s="2113"/>
      <c r="M25" s="2113"/>
      <c r="N25" s="2111"/>
      <c r="O25" s="2113"/>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100"/>
      <c r="E26" s="2115"/>
      <c r="F26" s="2127"/>
      <c r="G26" s="2115"/>
      <c r="H26" s="2117"/>
      <c r="I26" s="2119"/>
      <c r="J26" s="2122"/>
      <c r="K26" s="2113"/>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100"/>
      <c r="E27" s="2115"/>
      <c r="F27" s="2128"/>
      <c r="G27" s="2115"/>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125">
        <v>3</v>
      </c>
      <c r="E28" s="2114" t="s">
        <v>170</v>
      </c>
      <c r="F28" s="2126" t="s">
        <v>19</v>
      </c>
      <c r="G28" s="2114"/>
      <c r="H28" s="2116"/>
      <c r="I28" s="2118"/>
      <c r="J28" s="2120"/>
      <c r="K28" s="2112"/>
      <c r="L28" s="2112"/>
      <c r="M28" s="2112"/>
      <c r="N28" s="2123"/>
      <c r="O28" s="2112"/>
      <c r="P28" s="2112"/>
      <c r="Q28" s="2112"/>
      <c r="R28" s="2110"/>
      <c r="S28" s="2112"/>
      <c r="T28" s="1347"/>
      <c r="U28" s="1347"/>
      <c r="V28" s="1346"/>
      <c r="W28" s="1223"/>
      <c r="X28" s="1194"/>
      <c r="Y28" s="1194"/>
      <c r="Z28" s="1194"/>
      <c r="AA28" s="1194"/>
      <c r="AB28" s="1194"/>
      <c r="AC28" s="1194" t="s">
        <v>171</v>
      </c>
      <c r="AD28" s="1194" t="s">
        <v>172</v>
      </c>
      <c r="AE28" s="1194" t="s">
        <v>173</v>
      </c>
      <c r="AF28" s="1194" t="s">
        <v>174</v>
      </c>
      <c r="AG28" s="1194" t="s">
        <v>175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125"/>
      <c r="E29" s="2114"/>
      <c r="F29" s="2127"/>
      <c r="G29" s="2114"/>
      <c r="H29" s="2117"/>
      <c r="I29" s="2119"/>
      <c r="J29" s="2121"/>
      <c r="K29" s="2113"/>
      <c r="L29" s="2113"/>
      <c r="M29" s="2113"/>
      <c r="N29" s="2124"/>
      <c r="O29" s="2113"/>
      <c r="P29" s="2113"/>
      <c r="Q29" s="2113"/>
      <c r="R29" s="2111"/>
      <c r="S29" s="2113"/>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100"/>
      <c r="E30" s="2115"/>
      <c r="F30" s="2127"/>
      <c r="G30" s="2115"/>
      <c r="H30" s="2117"/>
      <c r="I30" s="2119"/>
      <c r="J30" s="2122"/>
      <c r="K30" s="2113"/>
      <c r="L30" s="2113"/>
      <c r="M30" s="2113"/>
      <c r="N30" s="2111"/>
      <c r="O30" s="2113"/>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100"/>
      <c r="E31" s="2115"/>
      <c r="F31" s="2127"/>
      <c r="G31" s="2115"/>
      <c r="H31" s="2117"/>
      <c r="I31" s="2119"/>
      <c r="J31" s="2122"/>
      <c r="K31" s="2113"/>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100"/>
      <c r="E32" s="2115"/>
      <c r="F32" s="2128"/>
      <c r="G32" s="2115"/>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125">
        <v>4</v>
      </c>
      <c r="E33" s="2114" t="s">
        <v>176</v>
      </c>
      <c r="F33" s="2126" t="s">
        <v>19</v>
      </c>
      <c r="G33" s="2114"/>
      <c r="H33" s="2116"/>
      <c r="I33" s="2118"/>
      <c r="J33" s="2120"/>
      <c r="K33" s="2112"/>
      <c r="L33" s="2112"/>
      <c r="M33" s="2112"/>
      <c r="N33" s="2123"/>
      <c r="O33" s="2112"/>
      <c r="P33" s="2112"/>
      <c r="Q33" s="2112"/>
      <c r="R33" s="2110"/>
      <c r="S33" s="2112"/>
      <c r="T33" s="1347"/>
      <c r="U33" s="1347"/>
      <c r="V33" s="1346"/>
      <c r="W33" s="1223"/>
      <c r="X33" s="1194"/>
      <c r="Y33" s="1194"/>
      <c r="Z33" s="1194"/>
      <c r="AA33" s="1194"/>
      <c r="AB33" s="1194"/>
      <c r="AC33" s="1194" t="s">
        <v>177</v>
      </c>
      <c r="AD33" s="1194" t="s">
        <v>178</v>
      </c>
      <c r="AE33" s="1194" t="s">
        <v>179</v>
      </c>
      <c r="AF33" s="1194" t="s">
        <v>180</v>
      </c>
      <c r="AG33" s="1194" t="s">
        <v>181</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125"/>
      <c r="E34" s="2114"/>
      <c r="F34" s="2127"/>
      <c r="G34" s="2114"/>
      <c r="H34" s="2117"/>
      <c r="I34" s="2119"/>
      <c r="J34" s="2121"/>
      <c r="K34" s="2113"/>
      <c r="L34" s="2113"/>
      <c r="M34" s="2113"/>
      <c r="N34" s="2124"/>
      <c r="O34" s="2113"/>
      <c r="P34" s="2113"/>
      <c r="Q34" s="2113"/>
      <c r="R34" s="2111"/>
      <c r="S34" s="2113"/>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100"/>
      <c r="E35" s="2115"/>
      <c r="F35" s="2127"/>
      <c r="G35" s="2115"/>
      <c r="H35" s="2117"/>
      <c r="I35" s="2119"/>
      <c r="J35" s="2122"/>
      <c r="K35" s="2113"/>
      <c r="L35" s="2113"/>
      <c r="M35" s="2113"/>
      <c r="N35" s="2111"/>
      <c r="O35" s="2113"/>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100"/>
      <c r="E36" s="2115"/>
      <c r="F36" s="2127"/>
      <c r="G36" s="2115"/>
      <c r="H36" s="2117"/>
      <c r="I36" s="2119"/>
      <c r="J36" s="2122"/>
      <c r="K36" s="2113"/>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100"/>
      <c r="E37" s="2115"/>
      <c r="F37" s="2128"/>
      <c r="G37" s="2115"/>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125">
        <v>5</v>
      </c>
      <c r="E38" s="2114" t="s">
        <v>182</v>
      </c>
      <c r="F38" s="2126" t="s">
        <v>19</v>
      </c>
      <c r="G38" s="2114"/>
      <c r="H38" s="2116"/>
      <c r="I38" s="2118"/>
      <c r="J38" s="2120"/>
      <c r="K38" s="2112"/>
      <c r="L38" s="2112"/>
      <c r="M38" s="2112"/>
      <c r="N38" s="2123"/>
      <c r="O38" s="2112"/>
      <c r="P38" s="2112"/>
      <c r="Q38" s="2112"/>
      <c r="R38" s="2110"/>
      <c r="S38" s="2112"/>
      <c r="T38" s="1347"/>
      <c r="U38" s="1347"/>
      <c r="V38" s="1346"/>
      <c r="W38" s="1223"/>
      <c r="X38" s="1194"/>
      <c r="Y38" s="1194"/>
      <c r="Z38" s="1194"/>
      <c r="AA38" s="1194"/>
      <c r="AB38" s="1194"/>
      <c r="AC38" s="1194" t="s">
        <v>183</v>
      </c>
      <c r="AD38" s="1194" t="s">
        <v>184</v>
      </c>
      <c r="AE38" s="1194" t="s">
        <v>185</v>
      </c>
      <c r="AF38" s="1194" t="s">
        <v>186</v>
      </c>
      <c r="AG38" s="1194" t="s">
        <v>187</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125"/>
      <c r="E39" s="2114"/>
      <c r="F39" s="2127"/>
      <c r="G39" s="2114"/>
      <c r="H39" s="2117"/>
      <c r="I39" s="2119"/>
      <c r="J39" s="2121"/>
      <c r="K39" s="2113"/>
      <c r="L39" s="2113"/>
      <c r="M39" s="2113"/>
      <c r="N39" s="2124"/>
      <c r="O39" s="2113"/>
      <c r="P39" s="2113"/>
      <c r="Q39" s="2113"/>
      <c r="R39" s="2111"/>
      <c r="S39" s="2113"/>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100"/>
      <c r="E40" s="2115"/>
      <c r="F40" s="2127"/>
      <c r="G40" s="2115"/>
      <c r="H40" s="2117"/>
      <c r="I40" s="2119"/>
      <c r="J40" s="2122"/>
      <c r="K40" s="2113"/>
      <c r="L40" s="2113"/>
      <c r="M40" s="2113"/>
      <c r="N40" s="2111"/>
      <c r="O40" s="2113"/>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100"/>
      <c r="E41" s="2115"/>
      <c r="F41" s="2127"/>
      <c r="G41" s="2115"/>
      <c r="H41" s="2117"/>
      <c r="I41" s="2119"/>
      <c r="J41" s="2122"/>
      <c r="K41" s="2113"/>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100"/>
      <c r="E42" s="2115"/>
      <c r="F42" s="2128"/>
      <c r="G42" s="2115"/>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125">
        <v>6</v>
      </c>
      <c r="E43" s="2114" t="s">
        <v>188</v>
      </c>
      <c r="F43" s="2126" t="s">
        <v>19</v>
      </c>
      <c r="G43" s="2114"/>
      <c r="H43" s="2116"/>
      <c r="I43" s="2118"/>
      <c r="J43" s="2120"/>
      <c r="K43" s="2112"/>
      <c r="L43" s="2112"/>
      <c r="M43" s="2112"/>
      <c r="N43" s="2123"/>
      <c r="O43" s="2112"/>
      <c r="P43" s="2112"/>
      <c r="Q43" s="2112"/>
      <c r="R43" s="2110"/>
      <c r="S43" s="2112"/>
      <c r="T43" s="1347"/>
      <c r="U43" s="1347"/>
      <c r="V43" s="1346"/>
      <c r="W43" s="1223"/>
      <c r="X43" s="1194"/>
      <c r="Y43" s="1194"/>
      <c r="Z43" s="1194"/>
      <c r="AA43" s="1194"/>
      <c r="AB43" s="1194"/>
      <c r="AC43" s="1194" t="s">
        <v>189</v>
      </c>
      <c r="AD43" s="1194" t="s">
        <v>190</v>
      </c>
      <c r="AE43" s="1194" t="s">
        <v>191</v>
      </c>
      <c r="AF43" s="1194" t="s">
        <v>192</v>
      </c>
      <c r="AG43" s="1194" t="s">
        <v>193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125"/>
      <c r="E44" s="2114"/>
      <c r="F44" s="2127"/>
      <c r="G44" s="2114"/>
      <c r="H44" s="2117"/>
      <c r="I44" s="2119"/>
      <c r="J44" s="2121"/>
      <c r="K44" s="2113"/>
      <c r="L44" s="2113"/>
      <c r="M44" s="2113"/>
      <c r="N44" s="2124"/>
      <c r="O44" s="2113"/>
      <c r="P44" s="2113"/>
      <c r="Q44" s="2113"/>
      <c r="R44" s="2111"/>
      <c r="S44" s="2113"/>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100"/>
      <c r="E45" s="2115"/>
      <c r="F45" s="2127"/>
      <c r="G45" s="2115"/>
      <c r="H45" s="2117"/>
      <c r="I45" s="2119"/>
      <c r="J45" s="2122"/>
      <c r="K45" s="2113"/>
      <c r="L45" s="2113"/>
      <c r="M45" s="2113"/>
      <c r="N45" s="2111"/>
      <c r="O45" s="2113"/>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100"/>
      <c r="E46" s="2115"/>
      <c r="F46" s="2127"/>
      <c r="G46" s="2115"/>
      <c r="H46" s="2117"/>
      <c r="I46" s="2119"/>
      <c r="J46" s="2122"/>
      <c r="K46" s="2113"/>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100"/>
      <c r="E47" s="2115"/>
      <c r="F47" s="2128"/>
      <c r="G47" s="2115"/>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32">
        <v>7</v>
      </c>
      <c r="E48" s="2135" t="s">
        <v>194</v>
      </c>
      <c r="F48" s="2126" t="s">
        <v>19</v>
      </c>
      <c r="G48" s="2135"/>
      <c r="H48" s="2116"/>
      <c r="I48" s="2118"/>
      <c r="J48" s="2120"/>
      <c r="K48" s="2112"/>
      <c r="L48" s="2112"/>
      <c r="M48" s="2112"/>
      <c r="N48" s="2123"/>
      <c r="O48" s="2112"/>
      <c r="P48" s="2112"/>
      <c r="Q48" s="2112"/>
      <c r="R48" s="2110"/>
      <c r="S48" s="2112"/>
      <c r="T48" s="1347"/>
      <c r="U48" s="1347"/>
      <c r="V48" s="1346"/>
      <c r="W48" s="1223"/>
      <c r="X48" s="1194"/>
      <c r="Y48" s="1194"/>
      <c r="Z48" s="1194"/>
      <c r="AA48" s="1194"/>
      <c r="AB48" s="1194"/>
      <c r="AC48" s="1194" t="s">
        <v>195</v>
      </c>
      <c r="AD48" s="1194" t="s">
        <v>196</v>
      </c>
      <c r="AE48" s="1194" t="s">
        <v>197</v>
      </c>
      <c r="AF48" s="1194" t="s">
        <v>198</v>
      </c>
      <c r="AG48" s="1194" t="s">
        <v>199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33"/>
      <c r="E49" s="2136"/>
      <c r="F49" s="2127"/>
      <c r="G49" s="2136"/>
      <c r="H49" s="2117"/>
      <c r="I49" s="2119"/>
      <c r="J49" s="2121"/>
      <c r="K49" s="2113"/>
      <c r="L49" s="2113"/>
      <c r="M49" s="2113"/>
      <c r="N49" s="2124"/>
      <c r="O49" s="2113"/>
      <c r="P49" s="2113"/>
      <c r="Q49" s="2113"/>
      <c r="R49" s="2111"/>
      <c r="S49" s="2113"/>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33"/>
      <c r="E50" s="2136"/>
      <c r="F50" s="2127"/>
      <c r="G50" s="2136"/>
      <c r="H50" s="2117"/>
      <c r="I50" s="2119"/>
      <c r="J50" s="2122"/>
      <c r="K50" s="2113"/>
      <c r="L50" s="2113"/>
      <c r="M50" s="2113"/>
      <c r="N50" s="2111"/>
      <c r="O50" s="2113"/>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33"/>
      <c r="E51" s="2136"/>
      <c r="F51" s="2127"/>
      <c r="G51" s="2136"/>
      <c r="H51" s="2117"/>
      <c r="I51" s="2119"/>
      <c r="J51" s="2122"/>
      <c r="K51" s="2113"/>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34"/>
      <c r="E52" s="2137"/>
      <c r="F52" s="2128"/>
      <c r="G52" s="213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125">
        <v>8</v>
      </c>
      <c r="E53" s="2114" t="s">
        <v>200</v>
      </c>
      <c r="F53" s="2126" t="s">
        <v>19</v>
      </c>
      <c r="G53" s="2114"/>
      <c r="H53" s="2116"/>
      <c r="I53" s="2118"/>
      <c r="J53" s="2120"/>
      <c r="K53" s="2112"/>
      <c r="L53" s="2112"/>
      <c r="M53" s="2112"/>
      <c r="N53" s="2123"/>
      <c r="O53" s="2112"/>
      <c r="P53" s="2112"/>
      <c r="Q53" s="2112"/>
      <c r="R53" s="2110"/>
      <c r="S53" s="2112"/>
      <c r="T53" s="1397"/>
      <c r="U53" s="1397"/>
      <c r="V53" s="1399"/>
      <c r="W53" s="1223"/>
      <c r="X53" s="1194"/>
      <c r="Y53" s="1194"/>
      <c r="Z53" s="1194"/>
      <c r="AA53" s="1194"/>
      <c r="AB53" s="1194"/>
      <c r="AC53" s="1194" t="s">
        <v>201</v>
      </c>
      <c r="AD53" s="1194" t="s">
        <v>202</v>
      </c>
      <c r="AE53" s="1194" t="s">
        <v>203</v>
      </c>
      <c r="AF53" s="1194" t="s">
        <v>204</v>
      </c>
      <c r="AG53" s="1194" t="s">
        <v>205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125"/>
      <c r="E54" s="2114"/>
      <c r="F54" s="2127"/>
      <c r="G54" s="2114"/>
      <c r="H54" s="2117"/>
      <c r="I54" s="2119"/>
      <c r="J54" s="2121"/>
      <c r="K54" s="2113"/>
      <c r="L54" s="2113"/>
      <c r="M54" s="2113"/>
      <c r="N54" s="2124"/>
      <c r="O54" s="2113"/>
      <c r="P54" s="2113"/>
      <c r="Q54" s="2113"/>
      <c r="R54" s="2111"/>
      <c r="S54" s="2113"/>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100"/>
      <c r="E55" s="2115"/>
      <c r="F55" s="2127"/>
      <c r="G55" s="2115"/>
      <c r="H55" s="2117"/>
      <c r="I55" s="2119"/>
      <c r="J55" s="2122"/>
      <c r="K55" s="2113"/>
      <c r="L55" s="2113"/>
      <c r="M55" s="2113"/>
      <c r="N55" s="2111"/>
      <c r="O55" s="2113"/>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100"/>
      <c r="E56" s="2115"/>
      <c r="F56" s="2127"/>
      <c r="G56" s="2115"/>
      <c r="H56" s="2117"/>
      <c r="I56" s="2119"/>
      <c r="J56" s="2122"/>
      <c r="K56" s="2113"/>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100"/>
      <c r="E57" s="2115"/>
      <c r="F57" s="2128"/>
      <c r="G57" s="2115"/>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125">
        <v>9</v>
      </c>
      <c r="E58" s="2114" t="s">
        <v>206</v>
      </c>
      <c r="F58" s="2126" t="s">
        <v>19</v>
      </c>
      <c r="G58" s="2114"/>
      <c r="H58" s="2116"/>
      <c r="I58" s="2118"/>
      <c r="J58" s="2120"/>
      <c r="K58" s="2112"/>
      <c r="L58" s="2112"/>
      <c r="M58" s="2112"/>
      <c r="N58" s="2123"/>
      <c r="O58" s="2112"/>
      <c r="P58" s="2112"/>
      <c r="Q58" s="2112"/>
      <c r="R58" s="2110"/>
      <c r="S58" s="2112"/>
      <c r="T58" s="1854"/>
      <c r="U58" s="1854"/>
      <c r="V58" s="1856"/>
      <c r="W58" s="1223"/>
      <c r="X58" s="1194"/>
      <c r="Y58" s="1194"/>
      <c r="Z58" s="1194"/>
      <c r="AA58" s="1194"/>
      <c r="AB58" s="1194"/>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125"/>
      <c r="E59" s="2114"/>
      <c r="F59" s="2127"/>
      <c r="G59" s="2114"/>
      <c r="H59" s="2117"/>
      <c r="I59" s="2119"/>
      <c r="J59" s="2121"/>
      <c r="K59" s="2113"/>
      <c r="L59" s="2113"/>
      <c r="M59" s="2113"/>
      <c r="N59" s="2124"/>
      <c r="O59" s="2113"/>
      <c r="P59" s="2113"/>
      <c r="Q59" s="2113"/>
      <c r="R59" s="2111"/>
      <c r="S59" s="2113"/>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100"/>
      <c r="E60" s="2115"/>
      <c r="F60" s="2127"/>
      <c r="G60" s="2115"/>
      <c r="H60" s="2117"/>
      <c r="I60" s="2119"/>
      <c r="J60" s="2122"/>
      <c r="K60" s="2113"/>
      <c r="L60" s="2113"/>
      <c r="M60" s="2113"/>
      <c r="N60" s="2111"/>
      <c r="O60" s="2113"/>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100"/>
      <c r="E61" s="2115"/>
      <c r="F61" s="2127"/>
      <c r="G61" s="2115"/>
      <c r="H61" s="2117"/>
      <c r="I61" s="2119"/>
      <c r="J61" s="2122"/>
      <c r="K61" s="2113"/>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100"/>
      <c r="E62" s="2115"/>
      <c r="F62" s="2128"/>
      <c r="G62" s="2115"/>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125">
        <v>10</v>
      </c>
      <c r="E63" s="2114" t="s">
        <v>212</v>
      </c>
      <c r="F63" s="2126" t="s">
        <v>19</v>
      </c>
      <c r="G63" s="2114"/>
      <c r="H63" s="2116"/>
      <c r="I63" s="2118"/>
      <c r="J63" s="2120"/>
      <c r="K63" s="2112"/>
      <c r="L63" s="2112"/>
      <c r="M63" s="2112"/>
      <c r="N63" s="2123"/>
      <c r="O63" s="2112"/>
      <c r="P63" s="2112"/>
      <c r="Q63" s="2112"/>
      <c r="R63" s="2110"/>
      <c r="S63" s="2112"/>
      <c r="T63" s="1854"/>
      <c r="U63" s="1854"/>
      <c r="V63" s="1856"/>
      <c r="W63" s="1223"/>
      <c r="X63" s="1194"/>
      <c r="Y63" s="1194"/>
      <c r="Z63" s="1194"/>
      <c r="AA63" s="1194"/>
      <c r="AB63" s="1194"/>
      <c r="AC63" s="1194" t="s">
        <v>213</v>
      </c>
      <c r="AD63" s="1194" t="s">
        <v>214</v>
      </c>
      <c r="AE63" s="1194" t="s">
        <v>215</v>
      </c>
      <c r="AF63" s="1194" t="s">
        <v>216</v>
      </c>
      <c r="AG63" s="1194" t="s">
        <v>217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125"/>
      <c r="E64" s="2114"/>
      <c r="F64" s="2127"/>
      <c r="G64" s="2114"/>
      <c r="H64" s="2117"/>
      <c r="I64" s="2119"/>
      <c r="J64" s="2121"/>
      <c r="K64" s="2113"/>
      <c r="L64" s="2113"/>
      <c r="M64" s="2113"/>
      <c r="N64" s="2124"/>
      <c r="O64" s="2113"/>
      <c r="P64" s="2113"/>
      <c r="Q64" s="2113"/>
      <c r="R64" s="2111"/>
      <c r="S64" s="2113"/>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100"/>
      <c r="E65" s="2115"/>
      <c r="F65" s="2127"/>
      <c r="G65" s="2115"/>
      <c r="H65" s="2117"/>
      <c r="I65" s="2119"/>
      <c r="J65" s="2122"/>
      <c r="K65" s="2113"/>
      <c r="L65" s="2113"/>
      <c r="M65" s="2113"/>
      <c r="N65" s="2111"/>
      <c r="O65" s="2113"/>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100"/>
      <c r="E66" s="2115"/>
      <c r="F66" s="2127"/>
      <c r="G66" s="2115"/>
      <c r="H66" s="2117"/>
      <c r="I66" s="2119"/>
      <c r="J66" s="2122"/>
      <c r="K66" s="2113"/>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100"/>
      <c r="E67" s="2115"/>
      <c r="F67" s="2128"/>
      <c r="G67" s="2115"/>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31" t="s">
        <v>218</v>
      </c>
      <c r="F69" s="2131"/>
      <c r="G69" s="2131"/>
      <c r="H69" s="2131"/>
      <c r="I69" s="2131"/>
      <c r="J69" s="2131"/>
      <c r="K69" s="2131"/>
      <c r="L69" s="2131"/>
      <c r="M69" s="2131"/>
      <c r="N69" s="2131"/>
      <c r="O69" s="2131"/>
      <c r="P69" s="2131"/>
      <c r="Q69" s="2131"/>
      <c r="R69" s="2131"/>
      <c r="S69" s="2131"/>
      <c r="T69" s="2131"/>
      <c r="U69" s="2131"/>
      <c r="V69" s="2131"/>
      <c r="W69" s="2131"/>
      <c r="AR69" s="43">
        <v>0</v>
      </c>
    </row>
    <row r="70" spans="1:44" ht="36.75" hidden="1" customHeight="1">
      <c r="E70" s="2129" t="s">
        <v>219</v>
      </c>
      <c r="F70" s="2129"/>
      <c r="G70" s="2130"/>
      <c r="H70" s="2130"/>
      <c r="I70" s="2130"/>
      <c r="J70" s="2130"/>
      <c r="K70" s="2130"/>
      <c r="L70" s="2130"/>
      <c r="M70" s="2130"/>
      <c r="N70" s="2130"/>
      <c r="O70" s="2130"/>
      <c r="P70" s="2130"/>
      <c r="Q70" s="2130"/>
      <c r="R70" s="2130"/>
      <c r="S70" s="2130"/>
      <c r="T70" s="2130"/>
      <c r="U70" s="2130"/>
      <c r="V70" s="2130"/>
      <c r="W70" s="2130"/>
      <c r="AR70" s="43">
        <v>0</v>
      </c>
    </row>
    <row r="71" spans="1:44" ht="28.5" hidden="1" customHeight="1">
      <c r="E71" s="2129" t="s">
        <v>220</v>
      </c>
      <c r="F71" s="2129"/>
      <c r="G71" s="2130"/>
      <c r="H71" s="2130"/>
      <c r="I71" s="2130"/>
      <c r="J71" s="2130"/>
      <c r="K71" s="2130"/>
      <c r="L71" s="2130"/>
      <c r="M71" s="2130"/>
      <c r="N71" s="2130"/>
      <c r="O71" s="2130"/>
      <c r="P71" s="2130"/>
      <c r="Q71" s="2130"/>
      <c r="R71" s="2130"/>
      <c r="S71" s="2130"/>
      <c r="T71" s="2130"/>
      <c r="U71" s="2130"/>
      <c r="V71" s="2130"/>
      <c r="W71" s="2130"/>
      <c r="AR71" s="43">
        <v>0</v>
      </c>
    </row>
    <row r="72" spans="1:44" ht="27" hidden="1" customHeight="1">
      <c r="E72" s="2129" t="s">
        <v>221</v>
      </c>
      <c r="F72" s="2129"/>
      <c r="G72" s="2130"/>
      <c r="H72" s="2130"/>
      <c r="I72" s="2130"/>
      <c r="J72" s="2130"/>
      <c r="K72" s="2130"/>
      <c r="L72" s="2130"/>
      <c r="M72" s="2130"/>
      <c r="N72" s="2130"/>
      <c r="O72" s="2130"/>
      <c r="P72" s="2130"/>
      <c r="Q72" s="2130"/>
      <c r="R72" s="2130"/>
      <c r="S72" s="2130"/>
      <c r="T72" s="2130"/>
      <c r="U72" s="2130"/>
      <c r="V72" s="2130"/>
      <c r="W72" s="2130"/>
      <c r="AR72" s="43">
        <v>0</v>
      </c>
    </row>
    <row r="73" spans="1:44" ht="17.25" hidden="1" customHeight="1">
      <c r="E73" s="2129" t="s">
        <v>222</v>
      </c>
      <c r="F73" s="2129"/>
      <c r="G73" s="2130"/>
      <c r="H73" s="2130"/>
      <c r="I73" s="2130"/>
      <c r="J73" s="2130"/>
      <c r="K73" s="2130"/>
      <c r="L73" s="2130"/>
      <c r="M73" s="2130"/>
      <c r="N73" s="2130"/>
      <c r="O73" s="2130"/>
      <c r="P73" s="2130"/>
      <c r="Q73" s="2130"/>
      <c r="R73" s="2130"/>
      <c r="S73" s="2130"/>
      <c r="T73" s="2130"/>
      <c r="U73" s="2130"/>
      <c r="V73" s="2130"/>
      <c r="W73" s="2130"/>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31" t="s">
        <v>223</v>
      </c>
      <c r="F75" s="2131"/>
      <c r="G75" s="2131"/>
      <c r="H75" s="2131"/>
      <c r="I75" s="2131"/>
      <c r="J75" s="2131"/>
      <c r="K75" s="2131"/>
      <c r="L75" s="2131"/>
      <c r="M75" s="2131"/>
      <c r="N75" s="2131"/>
      <c r="O75" s="2131"/>
      <c r="P75" s="2131"/>
      <c r="Q75" s="2131"/>
      <c r="R75" s="2131"/>
      <c r="S75" s="2131"/>
      <c r="T75" s="2131"/>
      <c r="U75" s="2131"/>
      <c r="V75" s="2131"/>
      <c r="W75" s="2131"/>
      <c r="AR75" s="43">
        <v>0</v>
      </c>
    </row>
    <row r="76" spans="1:44" ht="17.25" hidden="1" customHeight="1">
      <c r="E76" s="2129" t="s">
        <v>224</v>
      </c>
      <c r="F76" s="2129"/>
      <c r="G76" s="2130"/>
      <c r="H76" s="2130"/>
      <c r="I76" s="2130"/>
      <c r="J76" s="2130"/>
      <c r="K76" s="2130"/>
      <c r="L76" s="2130"/>
      <c r="M76" s="2130"/>
      <c r="N76" s="2130"/>
      <c r="O76" s="2130"/>
      <c r="P76" s="2130"/>
      <c r="Q76" s="2130"/>
      <c r="R76" s="2130"/>
      <c r="S76" s="2130"/>
      <c r="T76" s="2130"/>
      <c r="U76" s="2130"/>
      <c r="V76" s="2130"/>
      <c r="W76" s="2130"/>
      <c r="AR76" s="43">
        <v>0</v>
      </c>
    </row>
    <row r="77" spans="1:44" ht="17.25" hidden="1" customHeight="1">
      <c r="E77" s="2129" t="s">
        <v>225</v>
      </c>
      <c r="F77" s="2129"/>
      <c r="G77" s="2130"/>
      <c r="H77" s="2130"/>
      <c r="I77" s="2130"/>
      <c r="J77" s="2130"/>
      <c r="K77" s="2130"/>
      <c r="L77" s="2130"/>
      <c r="M77" s="2130"/>
      <c r="N77" s="2130"/>
      <c r="O77" s="2130"/>
      <c r="P77" s="2130"/>
      <c r="Q77" s="2130"/>
      <c r="R77" s="2130"/>
      <c r="S77" s="2130"/>
      <c r="T77" s="2130"/>
      <c r="U77" s="2130"/>
      <c r="V77" s="2130"/>
      <c r="W77" s="2130"/>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125">
        <v>1</v>
      </c>
      <c r="E79" s="2114" t="s">
        <v>226</v>
      </c>
      <c r="F79" s="2126" t="s">
        <v>19</v>
      </c>
      <c r="G79" s="2114"/>
      <c r="H79" s="2116"/>
      <c r="I79" s="2118"/>
      <c r="J79" s="2120"/>
      <c r="K79" s="2112"/>
      <c r="L79" s="2112"/>
      <c r="M79" s="2112"/>
      <c r="N79" s="2123"/>
      <c r="O79" s="2112"/>
      <c r="P79" s="2112"/>
      <c r="Q79" s="2112"/>
      <c r="R79" s="2110"/>
      <c r="S79" s="2112"/>
      <c r="T79" s="1397"/>
      <c r="U79" s="1397"/>
      <c r="V79" s="1399"/>
      <c r="W79" s="1223"/>
      <c r="Y79" s="1194"/>
      <c r="Z79" s="1194"/>
      <c r="AA79" s="1194"/>
      <c r="AB79" s="1194"/>
      <c r="AC79" s="1194" t="s">
        <v>227</v>
      </c>
      <c r="AD79" s="1194" t="s">
        <v>228</v>
      </c>
      <c r="AE79" s="1194" t="s">
        <v>229</v>
      </c>
      <c r="AF79" s="1194" t="s">
        <v>230</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125"/>
      <c r="E80" s="2114"/>
      <c r="F80" s="2127"/>
      <c r="G80" s="2114"/>
      <c r="H80" s="2117"/>
      <c r="I80" s="2119"/>
      <c r="J80" s="2121"/>
      <c r="K80" s="2113"/>
      <c r="L80" s="2113"/>
      <c r="M80" s="2113"/>
      <c r="N80" s="2124"/>
      <c r="O80" s="2113"/>
      <c r="P80" s="2113"/>
      <c r="Q80" s="2113"/>
      <c r="R80" s="2111"/>
      <c r="S80" s="2113"/>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125"/>
      <c r="E81" s="2114"/>
      <c r="F81" s="2127"/>
      <c r="G81" s="2114"/>
      <c r="H81" s="2117"/>
      <c r="I81" s="2119"/>
      <c r="J81" s="2122"/>
      <c r="K81" s="2113"/>
      <c r="L81" s="2113"/>
      <c r="M81" s="2113"/>
      <c r="N81" s="2111"/>
      <c r="O81" s="2113"/>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125"/>
      <c r="E82" s="2114"/>
      <c r="F82" s="2127"/>
      <c r="G82" s="2114"/>
      <c r="H82" s="2117"/>
      <c r="I82" s="2119"/>
      <c r="J82" s="2122"/>
      <c r="K82" s="2113"/>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100"/>
      <c r="E83" s="2115"/>
      <c r="F83" s="2128"/>
      <c r="G83" s="2115"/>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125">
        <v>2</v>
      </c>
      <c r="E84" s="2114" t="s">
        <v>231</v>
      </c>
      <c r="F84" s="2126" t="s">
        <v>19</v>
      </c>
      <c r="G84" s="2114"/>
      <c r="H84" s="2116"/>
      <c r="I84" s="2118"/>
      <c r="J84" s="2120"/>
      <c r="K84" s="2112"/>
      <c r="L84" s="2112"/>
      <c r="M84" s="2112"/>
      <c r="N84" s="2123"/>
      <c r="O84" s="2112"/>
      <c r="P84" s="2112"/>
      <c r="Q84" s="2112"/>
      <c r="R84" s="2110"/>
      <c r="S84" s="2112"/>
      <c r="T84" s="1370"/>
      <c r="U84" s="1370"/>
      <c r="V84" s="1372"/>
      <c r="W84" s="1223"/>
      <c r="X84" s="1194"/>
      <c r="Y84" s="1194"/>
      <c r="Z84" s="1194"/>
      <c r="AA84" s="1194"/>
      <c r="AB84" s="1194"/>
      <c r="AC84" s="1194" t="s">
        <v>232</v>
      </c>
      <c r="AD84" s="1194" t="s">
        <v>233</v>
      </c>
      <c r="AE84" s="1194" t="s">
        <v>234</v>
      </c>
      <c r="AF84" s="1194" t="s">
        <v>235</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125"/>
      <c r="E85" s="2114"/>
      <c r="F85" s="2127"/>
      <c r="G85" s="2114"/>
      <c r="H85" s="2117"/>
      <c r="I85" s="2119"/>
      <c r="J85" s="2121"/>
      <c r="K85" s="2113"/>
      <c r="L85" s="2113"/>
      <c r="M85" s="2113"/>
      <c r="N85" s="2124"/>
      <c r="O85" s="2113"/>
      <c r="P85" s="2113"/>
      <c r="Q85" s="2113"/>
      <c r="R85" s="2111"/>
      <c r="S85" s="2113"/>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100"/>
      <c r="E86" s="2115"/>
      <c r="F86" s="2127"/>
      <c r="G86" s="2115"/>
      <c r="H86" s="2117"/>
      <c r="I86" s="2119"/>
      <c r="J86" s="2122"/>
      <c r="K86" s="2113"/>
      <c r="L86" s="2113"/>
      <c r="M86" s="2113"/>
      <c r="N86" s="2111"/>
      <c r="O86" s="2113"/>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100"/>
      <c r="E87" s="2115"/>
      <c r="F87" s="2127"/>
      <c r="G87" s="2115"/>
      <c r="H87" s="2117"/>
      <c r="I87" s="2119"/>
      <c r="J87" s="2122"/>
      <c r="K87" s="2113"/>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100"/>
      <c r="E88" s="2115"/>
      <c r="F88" s="2128"/>
      <c r="G88" s="2115"/>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125">
        <v>3</v>
      </c>
      <c r="E89" s="2114" t="s">
        <v>236</v>
      </c>
      <c r="F89" s="2126" t="s">
        <v>19</v>
      </c>
      <c r="G89" s="2114"/>
      <c r="H89" s="2116"/>
      <c r="I89" s="2118"/>
      <c r="J89" s="2120"/>
      <c r="K89" s="2112"/>
      <c r="L89" s="2112"/>
      <c r="M89" s="2112"/>
      <c r="N89" s="2123"/>
      <c r="O89" s="2112"/>
      <c r="P89" s="2112"/>
      <c r="Q89" s="2112"/>
      <c r="R89" s="2110"/>
      <c r="S89" s="2112"/>
      <c r="T89" s="1370"/>
      <c r="U89" s="1370"/>
      <c r="V89" s="1372"/>
      <c r="W89" s="1223"/>
      <c r="X89" s="1194"/>
      <c r="Y89" s="1194"/>
      <c r="Z89" s="1194"/>
      <c r="AA89" s="1194"/>
      <c r="AB89" s="1194"/>
      <c r="AC89" s="1194" t="s">
        <v>237</v>
      </c>
      <c r="AD89" s="1194" t="s">
        <v>238</v>
      </c>
      <c r="AE89" s="1194" t="s">
        <v>239</v>
      </c>
      <c r="AF89" s="1194" t="s">
        <v>240</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125"/>
      <c r="E90" s="2114"/>
      <c r="F90" s="2127"/>
      <c r="G90" s="2114"/>
      <c r="H90" s="2117"/>
      <c r="I90" s="2119"/>
      <c r="J90" s="2121"/>
      <c r="K90" s="2113"/>
      <c r="L90" s="2113"/>
      <c r="M90" s="2113"/>
      <c r="N90" s="2124"/>
      <c r="O90" s="2113"/>
      <c r="P90" s="2113"/>
      <c r="Q90" s="2113"/>
      <c r="R90" s="2111"/>
      <c r="S90" s="2113"/>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100"/>
      <c r="E91" s="2115"/>
      <c r="F91" s="2127"/>
      <c r="G91" s="2115"/>
      <c r="H91" s="2117"/>
      <c r="I91" s="2119"/>
      <c r="J91" s="2122"/>
      <c r="K91" s="2113"/>
      <c r="L91" s="2113"/>
      <c r="M91" s="2113"/>
      <c r="N91" s="2111"/>
      <c r="O91" s="2113"/>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100"/>
      <c r="E92" s="2115"/>
      <c r="F92" s="2127"/>
      <c r="G92" s="2115"/>
      <c r="H92" s="2117"/>
      <c r="I92" s="2119"/>
      <c r="J92" s="2122"/>
      <c r="K92" s="2113"/>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100"/>
      <c r="E93" s="2115"/>
      <c r="F93" s="2128"/>
      <c r="G93" s="2115"/>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125">
        <v>4</v>
      </c>
      <c r="E94" s="2114" t="s">
        <v>241</v>
      </c>
      <c r="F94" s="2126" t="s">
        <v>19</v>
      </c>
      <c r="G94" s="2114"/>
      <c r="H94" s="2116"/>
      <c r="I94" s="2118"/>
      <c r="J94" s="2120"/>
      <c r="K94" s="2112"/>
      <c r="L94" s="2112"/>
      <c r="M94" s="2112"/>
      <c r="N94" s="2123"/>
      <c r="O94" s="2112"/>
      <c r="P94" s="2112"/>
      <c r="Q94" s="2112"/>
      <c r="R94" s="2110"/>
      <c r="S94" s="2112"/>
      <c r="T94" s="1370"/>
      <c r="U94" s="1370"/>
      <c r="V94" s="1372"/>
      <c r="W94" s="1223"/>
      <c r="X94" s="1194"/>
      <c r="Y94" s="1194"/>
      <c r="Z94" s="1194"/>
      <c r="AA94" s="1194"/>
      <c r="AB94" s="1194"/>
      <c r="AC94" s="1194" t="s">
        <v>242</v>
      </c>
      <c r="AD94" s="1194" t="s">
        <v>243</v>
      </c>
      <c r="AE94" s="1194" t="s">
        <v>244</v>
      </c>
      <c r="AF94" s="1194" t="s">
        <v>245</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125"/>
      <c r="E95" s="2114"/>
      <c r="F95" s="2127"/>
      <c r="G95" s="2114"/>
      <c r="H95" s="2117"/>
      <c r="I95" s="2119"/>
      <c r="J95" s="2121"/>
      <c r="K95" s="2113"/>
      <c r="L95" s="2113"/>
      <c r="M95" s="2113"/>
      <c r="N95" s="2124"/>
      <c r="O95" s="2113"/>
      <c r="P95" s="2113"/>
      <c r="Q95" s="2113"/>
      <c r="R95" s="2111"/>
      <c r="S95" s="2113"/>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100"/>
      <c r="E96" s="2115"/>
      <c r="F96" s="2127"/>
      <c r="G96" s="2115"/>
      <c r="H96" s="2117"/>
      <c r="I96" s="2119"/>
      <c r="J96" s="2122"/>
      <c r="K96" s="2113"/>
      <c r="L96" s="2113"/>
      <c r="M96" s="2113"/>
      <c r="N96" s="2111"/>
      <c r="O96" s="2113"/>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100"/>
      <c r="E97" s="2115"/>
      <c r="F97" s="2127"/>
      <c r="G97" s="2115"/>
      <c r="H97" s="2117"/>
      <c r="I97" s="2119"/>
      <c r="J97" s="2122"/>
      <c r="K97" s="2113"/>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100"/>
      <c r="E98" s="2115"/>
      <c r="F98" s="2128"/>
      <c r="G98" s="2115"/>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125">
        <v>5</v>
      </c>
      <c r="E99" s="2114" t="s">
        <v>246</v>
      </c>
      <c r="F99" s="2126" t="s">
        <v>19</v>
      </c>
      <c r="G99" s="2114"/>
      <c r="H99" s="2116"/>
      <c r="I99" s="2118"/>
      <c r="J99" s="2120"/>
      <c r="K99" s="2112"/>
      <c r="L99" s="2112"/>
      <c r="M99" s="2112"/>
      <c r="N99" s="2123"/>
      <c r="O99" s="2112"/>
      <c r="P99" s="2112"/>
      <c r="Q99" s="2112"/>
      <c r="R99" s="2110"/>
      <c r="S99" s="2112"/>
      <c r="T99" s="1866"/>
      <c r="U99" s="1866"/>
      <c r="V99" s="1868"/>
      <c r="W99" s="1223"/>
      <c r="X99" s="1194"/>
      <c r="Y99" s="1194"/>
      <c r="Z99" s="1194"/>
      <c r="AA99" s="1194"/>
      <c r="AB99" s="1194"/>
      <c r="AC99" s="1194" t="s">
        <v>247</v>
      </c>
      <c r="AD99" s="1194" t="s">
        <v>248</v>
      </c>
      <c r="AE99" s="1194" t="s">
        <v>249</v>
      </c>
      <c r="AF99" s="1194" t="s">
        <v>250</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125"/>
      <c r="E100" s="2114"/>
      <c r="F100" s="2127"/>
      <c r="G100" s="2114"/>
      <c r="H100" s="2117"/>
      <c r="I100" s="2119"/>
      <c r="J100" s="2121"/>
      <c r="K100" s="2113"/>
      <c r="L100" s="2113"/>
      <c r="M100" s="2113"/>
      <c r="N100" s="2124"/>
      <c r="O100" s="2113"/>
      <c r="P100" s="2113"/>
      <c r="Q100" s="2113"/>
      <c r="R100" s="2111"/>
      <c r="S100" s="2113"/>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100"/>
      <c r="E101" s="2115"/>
      <c r="F101" s="2127"/>
      <c r="G101" s="2115"/>
      <c r="H101" s="2117"/>
      <c r="I101" s="2119"/>
      <c r="J101" s="2122"/>
      <c r="K101" s="2113"/>
      <c r="L101" s="2113"/>
      <c r="M101" s="2113"/>
      <c r="N101" s="2111"/>
      <c r="O101" s="2113"/>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100"/>
      <c r="E102" s="2115"/>
      <c r="F102" s="2127"/>
      <c r="G102" s="2115"/>
      <c r="H102" s="2117"/>
      <c r="I102" s="2119"/>
      <c r="J102" s="2122"/>
      <c r="K102" s="2113"/>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100"/>
      <c r="E103" s="2115"/>
      <c r="F103" s="2128"/>
      <c r="G103" s="2115"/>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125">
        <v>1</v>
      </c>
      <c r="E105" s="2114" t="s">
        <v>251</v>
      </c>
      <c r="F105" s="2126" t="s">
        <v>19</v>
      </c>
      <c r="G105" s="2114"/>
      <c r="H105" s="2116"/>
      <c r="I105" s="2118"/>
      <c r="J105" s="2120"/>
      <c r="K105" s="2112"/>
      <c r="L105" s="2112"/>
      <c r="M105" s="2112"/>
      <c r="N105" s="2123"/>
      <c r="O105" s="2112"/>
      <c r="P105" s="2112"/>
      <c r="Q105" s="2112"/>
      <c r="R105" s="2110"/>
      <c r="S105" s="2112"/>
      <c r="T105" s="1397"/>
      <c r="U105" s="1397"/>
      <c r="V105" s="1399"/>
      <c r="W105" s="1223"/>
      <c r="Y105" s="1194"/>
      <c r="Z105" s="1194"/>
      <c r="AA105" s="1194"/>
      <c r="AB105" s="1194"/>
      <c r="AC105" s="1194" t="s">
        <v>252</v>
      </c>
      <c r="AD105" s="1194" t="s">
        <v>253</v>
      </c>
      <c r="AE105" s="1194" t="s">
        <v>254</v>
      </c>
      <c r="AF105" s="1194" t="s">
        <v>255</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125"/>
      <c r="E106" s="2114"/>
      <c r="F106" s="2127"/>
      <c r="G106" s="2114"/>
      <c r="H106" s="2117"/>
      <c r="I106" s="2119"/>
      <c r="J106" s="2121"/>
      <c r="K106" s="2113"/>
      <c r="L106" s="2113"/>
      <c r="M106" s="2113"/>
      <c r="N106" s="2124"/>
      <c r="O106" s="2113"/>
      <c r="P106" s="2113"/>
      <c r="Q106" s="2113"/>
      <c r="R106" s="2111"/>
      <c r="S106" s="2113"/>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125"/>
      <c r="E107" s="2114"/>
      <c r="F107" s="2127"/>
      <c r="G107" s="2114"/>
      <c r="H107" s="2117"/>
      <c r="I107" s="2119"/>
      <c r="J107" s="2122"/>
      <c r="K107" s="2113"/>
      <c r="L107" s="2113"/>
      <c r="M107" s="2113"/>
      <c r="N107" s="2111"/>
      <c r="O107" s="2113"/>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125"/>
      <c r="E108" s="2114"/>
      <c r="F108" s="2127"/>
      <c r="G108" s="2114"/>
      <c r="H108" s="2117"/>
      <c r="I108" s="2119"/>
      <c r="J108" s="2122"/>
      <c r="K108" s="2113"/>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100"/>
      <c r="E109" s="2115"/>
      <c r="F109" s="2128"/>
      <c r="G109" s="2115"/>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125">
        <v>2</v>
      </c>
      <c r="E110" s="2114" t="s">
        <v>256</v>
      </c>
      <c r="F110" s="2126" t="s">
        <v>19</v>
      </c>
      <c r="G110" s="2114"/>
      <c r="H110" s="2116"/>
      <c r="I110" s="2118"/>
      <c r="J110" s="2120"/>
      <c r="K110" s="2112"/>
      <c r="L110" s="2112"/>
      <c r="M110" s="2112"/>
      <c r="N110" s="2123"/>
      <c r="O110" s="2112"/>
      <c r="P110" s="2112"/>
      <c r="Q110" s="2112"/>
      <c r="R110" s="2110"/>
      <c r="S110" s="2112"/>
      <c r="T110" s="1397"/>
      <c r="U110" s="1397"/>
      <c r="V110" s="1399"/>
      <c r="W110" s="1223"/>
      <c r="X110" s="1194"/>
      <c r="Y110" s="1194"/>
      <c r="Z110" s="1194"/>
      <c r="AA110" s="1194"/>
      <c r="AB110" s="1194"/>
      <c r="AC110" s="1194" t="s">
        <v>257</v>
      </c>
      <c r="AD110" s="1194" t="s">
        <v>258</v>
      </c>
      <c r="AE110" s="1194" t="s">
        <v>259</v>
      </c>
      <c r="AF110" s="1194" t="s">
        <v>260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125"/>
      <c r="E111" s="2114"/>
      <c r="F111" s="2127"/>
      <c r="G111" s="2114"/>
      <c r="H111" s="2117"/>
      <c r="I111" s="2119"/>
      <c r="J111" s="2121"/>
      <c r="K111" s="2113"/>
      <c r="L111" s="2113"/>
      <c r="M111" s="2113"/>
      <c r="N111" s="2124"/>
      <c r="O111" s="2113"/>
      <c r="P111" s="2113"/>
      <c r="Q111" s="2113"/>
      <c r="R111" s="2111"/>
      <c r="S111" s="2113"/>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100"/>
      <c r="E112" s="2115"/>
      <c r="F112" s="2127"/>
      <c r="G112" s="2115"/>
      <c r="H112" s="2117"/>
      <c r="I112" s="2119"/>
      <c r="J112" s="2122"/>
      <c r="K112" s="2113"/>
      <c r="L112" s="2113"/>
      <c r="M112" s="2113"/>
      <c r="N112" s="2111"/>
      <c r="O112" s="2113"/>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100"/>
      <c r="E113" s="2115"/>
      <c r="F113" s="2127"/>
      <c r="G113" s="2115"/>
      <c r="H113" s="2117"/>
      <c r="I113" s="2119"/>
      <c r="J113" s="2122"/>
      <c r="K113" s="2113"/>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100"/>
      <c r="E114" s="2115"/>
      <c r="F114" s="2128"/>
      <c r="G114" s="2115"/>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125">
        <v>3</v>
      </c>
      <c r="E115" s="2114" t="s">
        <v>261</v>
      </c>
      <c r="F115" s="2126" t="s">
        <v>19</v>
      </c>
      <c r="G115" s="2114"/>
      <c r="H115" s="2116"/>
      <c r="I115" s="2118"/>
      <c r="J115" s="2120"/>
      <c r="K115" s="2112"/>
      <c r="L115" s="2112"/>
      <c r="M115" s="2112"/>
      <c r="N115" s="2123"/>
      <c r="O115" s="2112"/>
      <c r="P115" s="2112"/>
      <c r="Q115" s="2112"/>
      <c r="R115" s="2110"/>
      <c r="S115" s="2112"/>
      <c r="T115" s="1866"/>
      <c r="U115" s="1866"/>
      <c r="V115" s="1868"/>
      <c r="W115" s="1223"/>
      <c r="X115" s="1194"/>
      <c r="Y115" s="1194"/>
      <c r="Z115" s="1194"/>
      <c r="AA115" s="1194"/>
      <c r="AB115" s="1194"/>
      <c r="AC115" s="1194" t="s">
        <v>262</v>
      </c>
      <c r="AD115" s="1194" t="s">
        <v>263</v>
      </c>
      <c r="AE115" s="1194" t="s">
        <v>264</v>
      </c>
      <c r="AF115" s="1194" t="s">
        <v>265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125"/>
      <c r="E116" s="2114"/>
      <c r="F116" s="2127"/>
      <c r="G116" s="2114"/>
      <c r="H116" s="2117"/>
      <c r="I116" s="2119"/>
      <c r="J116" s="2121"/>
      <c r="K116" s="2113"/>
      <c r="L116" s="2113"/>
      <c r="M116" s="2113"/>
      <c r="N116" s="2124"/>
      <c r="O116" s="2113"/>
      <c r="P116" s="2113"/>
      <c r="Q116" s="2113"/>
      <c r="R116" s="2111"/>
      <c r="S116" s="2113"/>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100"/>
      <c r="E117" s="2115"/>
      <c r="F117" s="2127"/>
      <c r="G117" s="2115"/>
      <c r="H117" s="2117"/>
      <c r="I117" s="2119"/>
      <c r="J117" s="2122"/>
      <c r="K117" s="2113"/>
      <c r="L117" s="2113"/>
      <c r="M117" s="2113"/>
      <c r="N117" s="2111"/>
      <c r="O117" s="2113"/>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100"/>
      <c r="E118" s="2115"/>
      <c r="F118" s="2127"/>
      <c r="G118" s="2115"/>
      <c r="H118" s="2117"/>
      <c r="I118" s="2119"/>
      <c r="J118" s="2122"/>
      <c r="K118" s="2113"/>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100"/>
      <c r="E119" s="2115"/>
      <c r="F119" s="2128"/>
      <c r="G119" s="2115"/>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125">
        <v>1</v>
      </c>
      <c r="E121" s="2114" t="s">
        <v>266</v>
      </c>
      <c r="F121" s="2126" t="s">
        <v>19</v>
      </c>
      <c r="G121" s="2114"/>
      <c r="H121" s="2116"/>
      <c r="I121" s="2118"/>
      <c r="J121" s="2120"/>
      <c r="K121" s="2112"/>
      <c r="L121" s="2112"/>
      <c r="M121" s="2112"/>
      <c r="N121" s="2123"/>
      <c r="O121" s="2112"/>
      <c r="P121" s="2112"/>
      <c r="Q121" s="2112"/>
      <c r="R121" s="2110"/>
      <c r="S121" s="2112"/>
      <c r="T121" s="1397"/>
      <c r="U121" s="1397"/>
      <c r="V121" s="1399"/>
      <c r="W121" s="1223"/>
      <c r="Y121" s="1194"/>
      <c r="Z121" s="1194"/>
      <c r="AA121" s="1194"/>
      <c r="AB121" s="1194"/>
      <c r="AC121" s="1194" t="s">
        <v>267</v>
      </c>
      <c r="AD121" s="1194" t="s">
        <v>268</v>
      </c>
      <c r="AE121" s="1194" t="s">
        <v>269</v>
      </c>
      <c r="AF121" s="1194" t="s">
        <v>270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125"/>
      <c r="E122" s="2114"/>
      <c r="F122" s="2127"/>
      <c r="G122" s="2114"/>
      <c r="H122" s="2117"/>
      <c r="I122" s="2119"/>
      <c r="J122" s="2121"/>
      <c r="K122" s="2113"/>
      <c r="L122" s="2113"/>
      <c r="M122" s="2113"/>
      <c r="N122" s="2124"/>
      <c r="O122" s="2113"/>
      <c r="P122" s="2113"/>
      <c r="Q122" s="2113"/>
      <c r="R122" s="2111"/>
      <c r="S122" s="2113"/>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125"/>
      <c r="E123" s="2114"/>
      <c r="F123" s="2127"/>
      <c r="G123" s="2114"/>
      <c r="H123" s="2117"/>
      <c r="I123" s="2119"/>
      <c r="J123" s="2122"/>
      <c r="K123" s="2113"/>
      <c r="L123" s="2113"/>
      <c r="M123" s="2113"/>
      <c r="N123" s="2111"/>
      <c r="O123" s="2113"/>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125"/>
      <c r="E124" s="2114"/>
      <c r="F124" s="2127"/>
      <c r="G124" s="2114"/>
      <c r="H124" s="2117"/>
      <c r="I124" s="2119"/>
      <c r="J124" s="2122"/>
      <c r="K124" s="2113"/>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100"/>
      <c r="E125" s="2115"/>
      <c r="F125" s="2128"/>
      <c r="G125" s="2115"/>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125">
        <v>2</v>
      </c>
      <c r="E126" s="2114" t="s">
        <v>271</v>
      </c>
      <c r="F126" s="2126" t="s">
        <v>19</v>
      </c>
      <c r="G126" s="2114"/>
      <c r="H126" s="2116"/>
      <c r="I126" s="2118"/>
      <c r="J126" s="2120"/>
      <c r="K126" s="2112"/>
      <c r="L126" s="2112"/>
      <c r="M126" s="2112"/>
      <c r="N126" s="2123"/>
      <c r="O126" s="2112"/>
      <c r="P126" s="2112"/>
      <c r="Q126" s="2112"/>
      <c r="R126" s="2110"/>
      <c r="S126" s="2112"/>
      <c r="T126" s="1397"/>
      <c r="U126" s="1397"/>
      <c r="V126" s="1399"/>
      <c r="W126" s="1223"/>
      <c r="X126" s="1194"/>
      <c r="Y126" s="1194"/>
      <c r="Z126" s="1194"/>
      <c r="AA126" s="1194"/>
      <c r="AB126" s="1194"/>
      <c r="AC126" s="1194" t="s">
        <v>272</v>
      </c>
      <c r="AD126" s="1194" t="s">
        <v>273</v>
      </c>
      <c r="AE126" s="1194" t="s">
        <v>274</v>
      </c>
      <c r="AF126" s="1194" t="s">
        <v>275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125"/>
      <c r="E127" s="2114"/>
      <c r="F127" s="2127"/>
      <c r="G127" s="2114"/>
      <c r="H127" s="2117"/>
      <c r="I127" s="2119"/>
      <c r="J127" s="2121"/>
      <c r="K127" s="2113"/>
      <c r="L127" s="2113"/>
      <c r="M127" s="2113"/>
      <c r="N127" s="2124"/>
      <c r="O127" s="2113"/>
      <c r="P127" s="2113"/>
      <c r="Q127" s="2113"/>
      <c r="R127" s="2111"/>
      <c r="S127" s="2113"/>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100"/>
      <c r="E128" s="2115"/>
      <c r="F128" s="2127"/>
      <c r="G128" s="2115"/>
      <c r="H128" s="2117"/>
      <c r="I128" s="2119"/>
      <c r="J128" s="2122"/>
      <c r="K128" s="2113"/>
      <c r="L128" s="2113"/>
      <c r="M128" s="2113"/>
      <c r="N128" s="2111"/>
      <c r="O128" s="2113"/>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100"/>
      <c r="E129" s="2115"/>
      <c r="F129" s="2127"/>
      <c r="G129" s="2115"/>
      <c r="H129" s="2117"/>
      <c r="I129" s="2119"/>
      <c r="J129" s="2122"/>
      <c r="K129" s="2113"/>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100"/>
      <c r="E130" s="2115"/>
      <c r="F130" s="2128"/>
      <c r="G130" s="2115"/>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125">
        <v>3</v>
      </c>
      <c r="E131" s="2114" t="s">
        <v>276</v>
      </c>
      <c r="F131" s="2126" t="s">
        <v>19</v>
      </c>
      <c r="G131" s="2114"/>
      <c r="H131" s="2116"/>
      <c r="I131" s="2118"/>
      <c r="J131" s="2120"/>
      <c r="K131" s="2112"/>
      <c r="L131" s="2112"/>
      <c r="M131" s="2112"/>
      <c r="N131" s="2123"/>
      <c r="O131" s="2112"/>
      <c r="P131" s="2112"/>
      <c r="Q131" s="2112"/>
      <c r="R131" s="2110"/>
      <c r="S131" s="2112"/>
      <c r="T131" s="1866"/>
      <c r="U131" s="1866"/>
      <c r="V131" s="1868"/>
      <c r="W131" s="1223"/>
      <c r="X131" s="1194"/>
      <c r="Y131" s="1194"/>
      <c r="Z131" s="1194"/>
      <c r="AA131" s="1194"/>
      <c r="AB131" s="1194"/>
      <c r="AC131" s="1194" t="s">
        <v>277</v>
      </c>
      <c r="AD131" s="1194" t="s">
        <v>278</v>
      </c>
      <c r="AE131" s="1194" t="s">
        <v>279</v>
      </c>
      <c r="AF131" s="1194" t="s">
        <v>280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125"/>
      <c r="E132" s="2114"/>
      <c r="F132" s="2127"/>
      <c r="G132" s="2114"/>
      <c r="H132" s="2117"/>
      <c r="I132" s="2119"/>
      <c r="J132" s="2121"/>
      <c r="K132" s="2113"/>
      <c r="L132" s="2113"/>
      <c r="M132" s="2113"/>
      <c r="N132" s="2124"/>
      <c r="O132" s="2113"/>
      <c r="P132" s="2113"/>
      <c r="Q132" s="2113"/>
      <c r="R132" s="2111"/>
      <c r="S132" s="2113"/>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100"/>
      <c r="E133" s="2115"/>
      <c r="F133" s="2127"/>
      <c r="G133" s="2115"/>
      <c r="H133" s="2117"/>
      <c r="I133" s="2119"/>
      <c r="J133" s="2122"/>
      <c r="K133" s="2113"/>
      <c r="L133" s="2113"/>
      <c r="M133" s="2113"/>
      <c r="N133" s="2111"/>
      <c r="O133" s="2113"/>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100"/>
      <c r="E134" s="2115"/>
      <c r="F134" s="2127"/>
      <c r="G134" s="2115"/>
      <c r="H134" s="2117"/>
      <c r="I134" s="2119"/>
      <c r="J134" s="2122"/>
      <c r="K134" s="2113"/>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100"/>
      <c r="E135" s="2115"/>
      <c r="F135" s="2128"/>
      <c r="G135" s="2115"/>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50" style="1293" customWidth="1"/>
    <col min="14" max="22" width="10" style="1562" customWidth="1"/>
    <col min="23" max="23" width="10" style="612" customWidth="1"/>
    <col min="24" max="24" width="10.5703125" style="1562" hidden="1"/>
  </cols>
  <sheetData>
    <row r="1" spans="1:24" s="1293" customFormat="1" ht="22.5" hidden="1" customHeight="1">
      <c r="C1" s="609"/>
      <c r="G1" s="354">
        <v>4</v>
      </c>
      <c r="I1" s="354">
        <v>4</v>
      </c>
      <c r="K1" s="1293">
        <v>4</v>
      </c>
      <c r="W1" s="357"/>
      <c r="X1" s="354" t="s">
        <v>14</v>
      </c>
    </row>
    <row r="2" spans="1:24" s="1562" customFormat="1" ht="15" hidden="1" customHeight="1">
      <c r="A2" s="299"/>
      <c r="C2" s="113"/>
      <c r="D2" s="283"/>
      <c r="E2" s="610"/>
      <c r="F2" s="459"/>
      <c r="G2" s="553"/>
      <c r="H2" s="553"/>
      <c r="I2" s="553"/>
      <c r="J2" s="553"/>
      <c r="K2" s="553"/>
      <c r="L2" s="553"/>
      <c r="W2" s="611"/>
      <c r="X2" s="446">
        <v>0</v>
      </c>
    </row>
    <row r="3" spans="1:24" s="1293" customFormat="1" ht="15" hidden="1" customHeight="1">
      <c r="C3" s="609"/>
      <c r="W3" s="357"/>
      <c r="X3" s="354">
        <v>0</v>
      </c>
    </row>
    <row r="4" spans="1:24" ht="15.75" customHeight="1">
      <c r="C4" s="113"/>
      <c r="D4" s="446"/>
      <c r="E4" s="446"/>
      <c r="F4" s="446"/>
      <c r="G4" s="446"/>
      <c r="H4" s="446"/>
      <c r="I4" s="446"/>
      <c r="J4" s="446"/>
      <c r="X4" s="442">
        <v>15</v>
      </c>
    </row>
    <row r="5" spans="1:24" ht="66" customHeight="1">
      <c r="C5" s="113"/>
      <c r="D5" s="2200" t="s">
        <v>1158</v>
      </c>
      <c r="E5" s="2200"/>
      <c r="F5" s="2200"/>
      <c r="G5" s="2200"/>
      <c r="H5" s="2200"/>
      <c r="I5" s="2200"/>
      <c r="J5" s="2200"/>
      <c r="K5" s="2004"/>
      <c r="L5" s="2004"/>
      <c r="X5" s="442">
        <v>63</v>
      </c>
    </row>
    <row r="6" spans="1:24" ht="15.75" customHeight="1">
      <c r="C6" s="113"/>
      <c r="D6" s="2172" t="str">
        <f>IF(org=0,"Не определено",org)</f>
        <v>МУП "Михайловское водопроводно-канализационное хозяйство"</v>
      </c>
      <c r="E6" s="2172"/>
      <c r="F6" s="2172"/>
      <c r="G6" s="2172"/>
      <c r="H6" s="2172"/>
      <c r="I6" s="2172"/>
      <c r="J6" s="2172"/>
      <c r="K6" s="2005"/>
      <c r="L6" s="2005"/>
      <c r="M6" s="474"/>
      <c r="X6" s="442">
        <v>15</v>
      </c>
    </row>
    <row r="7" spans="1:24" ht="15.75" customHeight="1">
      <c r="C7" s="113"/>
      <c r="D7" s="689"/>
      <c r="E7" s="446"/>
      <c r="F7" s="446"/>
      <c r="G7" s="474">
        <v>22</v>
      </c>
      <c r="I7" s="474">
        <v>1</v>
      </c>
      <c r="J7" s="689"/>
      <c r="K7" s="1293" t="s">
        <v>22</v>
      </c>
      <c r="X7" s="442">
        <v>15</v>
      </c>
    </row>
    <row r="8" spans="1:24" s="1562" customFormat="1" ht="1.1499999999999999" customHeight="1">
      <c r="A8" s="694"/>
      <c r="C8" s="113"/>
      <c r="D8" s="446"/>
      <c r="E8" s="446"/>
      <c r="F8" s="446"/>
      <c r="G8" s="474"/>
      <c r="H8" s="689"/>
      <c r="I8" s="474" t="s">
        <v>117</v>
      </c>
      <c r="J8" s="689"/>
      <c r="K8" s="1293" t="s">
        <v>122</v>
      </c>
      <c r="L8" s="689"/>
      <c r="M8" s="354"/>
      <c r="W8" s="612"/>
      <c r="X8" s="693">
        <v>1</v>
      </c>
    </row>
    <row r="9" spans="1:24" ht="15.75" customHeight="1">
      <c r="C9" s="113"/>
      <c r="D9" s="648"/>
      <c r="E9" s="2306" t="s">
        <v>104</v>
      </c>
      <c r="F9" s="2307"/>
      <c r="G9" s="2334" t="str">
        <f>IF(G8="","",INDEX(DIFFERENTIATION_UNMERGE_VD,MATCH(G8,DIFFERENTIATION_ID_DIFF,0)))</f>
        <v/>
      </c>
      <c r="H9" s="2335"/>
      <c r="I9" s="2334" t="str">
        <f>IF(I8="","",INDEX(DIFFERENTIATION_UNMERGE_VD,MATCH(I8,DIFFERENTIATION_ID_DIFF,0)))</f>
        <v>Подключение (технологическое присоединение) к централизованной системе водоснабжения</v>
      </c>
      <c r="J9" s="2335"/>
      <c r="K9" s="2334" t="str">
        <f>IF(K8="","",INDEX(DIFFERENTIATION_UNMERGE_VD,MATCH(K8,DIFFERENTIATION_ID_DIFF,0)))</f>
        <v>Подключение (технологическое присоединение) к централизованной системе водоснабжения</v>
      </c>
      <c r="L9" s="2335"/>
      <c r="M9" s="2150" t="s">
        <v>303</v>
      </c>
      <c r="X9" s="442">
        <v>15</v>
      </c>
    </row>
    <row r="10" spans="1:24" s="1562" customFormat="1" ht="15.75" customHeight="1">
      <c r="A10" s="694"/>
      <c r="C10" s="113"/>
      <c r="D10" s="648"/>
      <c r="E10" s="2306" t="s">
        <v>566</v>
      </c>
      <c r="F10" s="2307"/>
      <c r="G10" s="2334" t="str">
        <f>IF(G8="","",INDEX(DIFFERENTIATION_UNMERGE_AREA,MATCH(G8,DIFFERENTIATION_ID_DIFF,0)))</f>
        <v/>
      </c>
      <c r="H10" s="2335"/>
      <c r="I10" s="2334" t="str">
        <f>IF(I8="","",INDEX(DIFFERENTIATION_UNMERGE_AREA,MATCH(I8,DIFFERENTIATION_ID_DIFF,0)))</f>
        <v>без дифференциации</v>
      </c>
      <c r="J10" s="2335"/>
      <c r="K10" s="2334" t="str">
        <f>IF(K8="","",INDEX(DIFFERENTIATION_UNMERGE_AREA,MATCH(K8,DIFFERENTIATION_ID_DIFF,0)))</f>
        <v>без дифференциации</v>
      </c>
      <c r="L10" s="2335"/>
      <c r="M10" s="2155"/>
      <c r="W10" s="612"/>
      <c r="X10" s="693">
        <v>15</v>
      </c>
    </row>
    <row r="11" spans="1:24" s="1562" customFormat="1" ht="15.75" customHeight="1">
      <c r="A11" s="694"/>
      <c r="C11" s="113"/>
      <c r="D11" s="648"/>
      <c r="E11" s="2306" t="s">
        <v>567</v>
      </c>
      <c r="F11" s="2307"/>
      <c r="G11" s="2334" t="str">
        <f>IF(G8="","",INDEX(DIFFERENTIATION_UNMERGE_SYSTEM,MATCH(G8,DIFFERENTIATION_ID_DIFF,0)))</f>
        <v/>
      </c>
      <c r="H11" s="2335"/>
      <c r="I11" s="2334" t="str">
        <f>IF(I8="","",INDEX(DIFFERENTIATION_UNMERGE_SYSTEM,MATCH(I8,DIFFERENTIATION_ID_DIFF,0)))</f>
        <v>Централизованная система водоснабжения (питьевая вода)</v>
      </c>
      <c r="J11" s="2335"/>
      <c r="K11" s="2334" t="str">
        <f>IF(K8="","",INDEX(DIFFERENTIATION_UNMERGE_SYSTEM,MATCH(K8,DIFFERENTIATION_ID_DIFF,0)))</f>
        <v>Централизованная система водоснабжения (техническая вода)</v>
      </c>
      <c r="L11" s="2335"/>
      <c r="M11" s="2155"/>
      <c r="W11" s="612"/>
      <c r="X11" s="693">
        <v>15</v>
      </c>
    </row>
    <row r="12" spans="1:24" s="1562" customFormat="1" ht="15.75" customHeight="1">
      <c r="A12" s="694"/>
      <c r="C12" s="113"/>
      <c r="D12" s="2308" t="s">
        <v>302</v>
      </c>
      <c r="E12" s="2309"/>
      <c r="F12" s="2309"/>
      <c r="G12" s="817"/>
      <c r="H12" s="817"/>
      <c r="I12" s="817"/>
      <c r="J12" s="817"/>
      <c r="K12" s="2013"/>
      <c r="L12" s="2013"/>
      <c r="M12" s="2155"/>
      <c r="W12" s="612"/>
      <c r="X12" s="693">
        <v>15</v>
      </c>
    </row>
    <row r="13" spans="1:24" ht="35.65" customHeight="1">
      <c r="C13" s="113"/>
      <c r="D13" s="736" t="s">
        <v>87</v>
      </c>
      <c r="E13" s="738" t="s">
        <v>304</v>
      </c>
      <c r="F13" s="738" t="s">
        <v>568</v>
      </c>
      <c r="G13" s="739" t="s">
        <v>305</v>
      </c>
      <c r="H13" s="738" t="s">
        <v>392</v>
      </c>
      <c r="I13" s="739" t="s">
        <v>305</v>
      </c>
      <c r="J13" s="738" t="s">
        <v>392</v>
      </c>
      <c r="K13" s="2007" t="s">
        <v>305</v>
      </c>
      <c r="L13" s="2011" t="s">
        <v>392</v>
      </c>
      <c r="M13" s="2205"/>
      <c r="X13" s="442">
        <v>34</v>
      </c>
    </row>
    <row r="14" spans="1:24" ht="15" hidden="1" customHeight="1">
      <c r="C14" s="113"/>
      <c r="D14" s="530" t="s">
        <v>108</v>
      </c>
      <c r="E14" s="530" t="s">
        <v>109</v>
      </c>
      <c r="F14" s="530" t="s">
        <v>89</v>
      </c>
      <c r="G14" s="596" t="str">
        <f>G1&amp;".1"</f>
        <v>4.1</v>
      </c>
      <c r="H14" s="596"/>
      <c r="I14" s="596" t="str">
        <f>I1&amp;".1"</f>
        <v>4.1</v>
      </c>
      <c r="J14" s="596"/>
      <c r="K14" s="620" t="str">
        <f>K1&amp;".1"</f>
        <v>4.1</v>
      </c>
      <c r="L14" s="620"/>
      <c r="M14" s="226"/>
      <c r="X14" s="442">
        <v>0</v>
      </c>
    </row>
    <row r="15" spans="1:24" ht="22.5" hidden="1" customHeight="1">
      <c r="A15" s="442"/>
      <c r="C15" s="463"/>
      <c r="D15" s="458">
        <v>1</v>
      </c>
      <c r="E15" s="614" t="s">
        <v>811</v>
      </c>
      <c r="F15" s="458" t="s">
        <v>812</v>
      </c>
      <c r="G15" s="615"/>
      <c r="H15" s="615"/>
      <c r="I15" s="615"/>
      <c r="J15" s="615"/>
      <c r="K15" s="615"/>
      <c r="L15" s="615"/>
      <c r="M15" s="226" t="s">
        <v>813</v>
      </c>
      <c r="X15" s="442">
        <v>0</v>
      </c>
    </row>
    <row r="16" spans="1:24" ht="22.5" hidden="1" customHeight="1">
      <c r="A16" s="442"/>
      <c r="C16" s="463"/>
      <c r="D16" s="458">
        <v>2</v>
      </c>
      <c r="E16" s="216" t="s">
        <v>814</v>
      </c>
      <c r="F16" s="458" t="s">
        <v>815</v>
      </c>
      <c r="G16" s="615"/>
      <c r="H16" s="615"/>
      <c r="I16" s="615"/>
      <c r="J16" s="615"/>
      <c r="K16" s="615"/>
      <c r="L16" s="615"/>
      <c r="M16" s="226" t="s">
        <v>816</v>
      </c>
      <c r="X16" s="442">
        <v>0</v>
      </c>
    </row>
    <row r="17" spans="1:24" ht="123.75" hidden="1" customHeight="1">
      <c r="A17" s="442"/>
      <c r="C17" s="463"/>
      <c r="D17" s="458">
        <v>3</v>
      </c>
      <c r="E17" s="216" t="s">
        <v>1159</v>
      </c>
      <c r="F17" s="458" t="s">
        <v>308</v>
      </c>
      <c r="G17" s="615"/>
      <c r="H17" s="615"/>
      <c r="I17" s="615"/>
      <c r="J17" s="615"/>
      <c r="K17" s="615"/>
      <c r="L17" s="615"/>
      <c r="M17" s="226" t="s">
        <v>1160</v>
      </c>
      <c r="X17" s="442">
        <v>0</v>
      </c>
    </row>
    <row r="18" spans="1:24" ht="48.2" customHeight="1">
      <c r="A18" s="442"/>
      <c r="C18" s="463"/>
      <c r="D18" s="458">
        <v>3</v>
      </c>
      <c r="E18" s="216" t="s">
        <v>817</v>
      </c>
      <c r="F18" s="458" t="s">
        <v>308</v>
      </c>
      <c r="G18" s="740" t="s">
        <v>308</v>
      </c>
      <c r="H18" s="741" t="s">
        <v>308</v>
      </c>
      <c r="I18" s="458" t="s">
        <v>308</v>
      </c>
      <c r="J18" s="515" t="s">
        <v>308</v>
      </c>
      <c r="K18" s="2011" t="s">
        <v>308</v>
      </c>
      <c r="L18" s="2006" t="s">
        <v>308</v>
      </c>
      <c r="M18" s="226" t="s">
        <v>1161</v>
      </c>
      <c r="X18" s="442">
        <v>46</v>
      </c>
    </row>
    <row r="19" spans="1:24" ht="35.65" customHeight="1">
      <c r="A19" s="442"/>
      <c r="C19" s="463"/>
      <c r="D19" s="476" t="s">
        <v>326</v>
      </c>
      <c r="E19" s="496" t="s">
        <v>819</v>
      </c>
      <c r="F19" s="458" t="s">
        <v>820</v>
      </c>
      <c r="G19" s="748"/>
      <c r="H19" s="45"/>
      <c r="I19" s="748"/>
      <c r="J19" s="749"/>
      <c r="K19" s="748"/>
      <c r="L19" s="2020"/>
      <c r="M19" s="616"/>
      <c r="X19" s="442">
        <v>34</v>
      </c>
    </row>
    <row r="20" spans="1:24" ht="35.65" customHeight="1">
      <c r="A20" s="442"/>
      <c r="C20" s="463"/>
      <c r="D20" s="1816" t="s">
        <v>334</v>
      </c>
      <c r="E20" s="496" t="s">
        <v>821</v>
      </c>
      <c r="F20" s="458" t="s">
        <v>822</v>
      </c>
      <c r="G20" s="748"/>
      <c r="H20" s="45"/>
      <c r="I20" s="748"/>
      <c r="J20" s="45"/>
      <c r="K20" s="748"/>
      <c r="L20" s="2020"/>
      <c r="M20" s="616"/>
      <c r="X20" s="442">
        <v>34</v>
      </c>
    </row>
    <row r="21" spans="1:24" ht="48.2" customHeight="1">
      <c r="A21" s="442"/>
      <c r="C21" s="463"/>
      <c r="D21" s="1816" t="s">
        <v>336</v>
      </c>
      <c r="E21" s="496" t="s">
        <v>823</v>
      </c>
      <c r="F21" s="458" t="s">
        <v>573</v>
      </c>
      <c r="G21" s="617"/>
      <c r="H21" s="45"/>
      <c r="I21" s="617"/>
      <c r="J21" s="45"/>
      <c r="K21" s="617"/>
      <c r="L21" s="2020"/>
      <c r="M21" s="616"/>
      <c r="X21" s="442">
        <v>46</v>
      </c>
    </row>
    <row r="22" spans="1:24" ht="67.5" hidden="1" customHeight="1">
      <c r="A22" s="442"/>
      <c r="C22" s="463"/>
      <c r="D22" s="458">
        <v>5</v>
      </c>
      <c r="E22" s="216" t="s">
        <v>1162</v>
      </c>
      <c r="F22" s="458" t="s">
        <v>560</v>
      </c>
      <c r="G22" s="618"/>
      <c r="H22" s="619"/>
      <c r="I22" s="618"/>
      <c r="J22" s="619"/>
      <c r="K22" s="618"/>
      <c r="L22" s="1366"/>
      <c r="M22" s="226" t="s">
        <v>1163</v>
      </c>
      <c r="X22" s="442">
        <v>0</v>
      </c>
    </row>
    <row r="23" spans="1:24" ht="33.75" hidden="1" customHeight="1">
      <c r="C23" s="388"/>
      <c r="D23" s="458">
        <v>6</v>
      </c>
      <c r="E23" s="216" t="s">
        <v>1164</v>
      </c>
      <c r="F23" s="458" t="s">
        <v>1165</v>
      </c>
      <c r="G23" s="618"/>
      <c r="H23" s="618"/>
      <c r="I23" s="618"/>
      <c r="J23" s="618"/>
      <c r="K23" s="618"/>
      <c r="L23" s="618"/>
      <c r="M23" s="226" t="s">
        <v>1166</v>
      </c>
      <c r="X23" s="442">
        <v>0</v>
      </c>
    </row>
    <row r="24" spans="1:24" ht="15.75" customHeight="1">
      <c r="X24" s="442">
        <v>15</v>
      </c>
    </row>
    <row r="25" spans="1:24" ht="15.75" customHeight="1">
      <c r="X25" s="442">
        <v>15</v>
      </c>
    </row>
    <row r="26" spans="1:24" ht="15.75" customHeight="1">
      <c r="X26" s="442">
        <v>15</v>
      </c>
    </row>
    <row r="27" spans="1:24" ht="15.75" customHeight="1">
      <c r="X27" s="442">
        <v>15</v>
      </c>
    </row>
    <row r="28" spans="1:24" ht="15.75" customHeight="1">
      <c r="X28" s="442">
        <v>15</v>
      </c>
    </row>
    <row r="29" spans="1:24" ht="15.75" customHeight="1">
      <c r="J29" s="750"/>
      <c r="X29" s="442">
        <v>15</v>
      </c>
    </row>
    <row r="30" spans="1:24" ht="22.5" hidden="1" customHeight="1">
      <c r="A30" s="386" t="s">
        <v>81</v>
      </c>
      <c r="B30" s="442">
        <v>0</v>
      </c>
      <c r="C30" s="620">
        <v>4</v>
      </c>
      <c r="D30" s="442">
        <v>6</v>
      </c>
      <c r="E30" s="442">
        <v>47</v>
      </c>
      <c r="F30" s="442">
        <v>9</v>
      </c>
      <c r="G30" s="693">
        <v>0</v>
      </c>
      <c r="H30" s="693">
        <v>0</v>
      </c>
      <c r="I30" s="442">
        <v>25</v>
      </c>
      <c r="J30" s="442">
        <v>33</v>
      </c>
      <c r="K30" s="1562">
        <v>0</v>
      </c>
      <c r="L30" s="1562">
        <v>0</v>
      </c>
      <c r="M30" s="354">
        <v>50</v>
      </c>
      <c r="N30" s="442">
        <v>10</v>
      </c>
      <c r="O30" s="442">
        <v>10</v>
      </c>
      <c r="P30" s="442">
        <v>10</v>
      </c>
      <c r="Q30" s="442">
        <v>10</v>
      </c>
      <c r="R30" s="442">
        <v>10</v>
      </c>
      <c r="S30" s="442">
        <v>10</v>
      </c>
      <c r="T30" s="442">
        <v>10</v>
      </c>
      <c r="U30" s="442">
        <v>10</v>
      </c>
      <c r="V30" s="442">
        <v>10</v>
      </c>
      <c r="W30" s="612">
        <v>10</v>
      </c>
      <c r="X30" s="442">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formula1>900</formula1>
    </dataValidation>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1167</v>
      </c>
      <c r="B1" s="997" t="s">
        <v>1168</v>
      </c>
      <c r="C1" s="997" t="s">
        <v>1169</v>
      </c>
      <c r="D1" s="997" t="s">
        <v>1170</v>
      </c>
      <c r="E1" s="997" t="s">
        <v>1171</v>
      </c>
      <c r="F1" s="997" t="s">
        <v>1172</v>
      </c>
      <c r="G1" s="997" t="s">
        <v>1173</v>
      </c>
      <c r="H1" s="997" t="s">
        <v>1174</v>
      </c>
      <c r="I1" s="997" t="s">
        <v>1175</v>
      </c>
      <c r="J1" s="997" t="s">
        <v>1176</v>
      </c>
      <c r="K1" s="997" t="s">
        <v>1177</v>
      </c>
      <c r="L1" s="997" t="s">
        <v>1178</v>
      </c>
      <c r="M1" s="997"/>
      <c r="N1" s="997" t="s">
        <v>1179</v>
      </c>
      <c r="O1" s="997" t="s">
        <v>1180</v>
      </c>
      <c r="P1" s="997" t="s">
        <v>1181</v>
      </c>
      <c r="Q1" s="997" t="s">
        <v>1182</v>
      </c>
      <c r="R1" s="997" t="s">
        <v>1183</v>
      </c>
      <c r="S1" s="997" t="s">
        <v>1184</v>
      </c>
      <c r="T1" s="997" t="s">
        <v>1185</v>
      </c>
      <c r="U1" s="997" t="s">
        <v>1186</v>
      </c>
      <c r="V1" s="997"/>
      <c r="W1" s="728" t="s">
        <v>1187</v>
      </c>
      <c r="X1" s="997" t="s">
        <v>1188</v>
      </c>
      <c r="Y1" s="997" t="s">
        <v>1189</v>
      </c>
      <c r="Z1" s="997"/>
      <c r="AA1" s="997" t="s">
        <v>1190</v>
      </c>
      <c r="AB1" s="997"/>
      <c r="AC1" s="997" t="s">
        <v>1191</v>
      </c>
      <c r="AD1" s="997"/>
      <c r="AF1" s="997" t="s">
        <v>1192</v>
      </c>
      <c r="AH1" s="997" t="s">
        <v>1193</v>
      </c>
      <c r="AI1" s="997" t="s">
        <v>1194</v>
      </c>
      <c r="AK1" s="997" t="s">
        <v>1195</v>
      </c>
      <c r="AM1" s="997" t="s">
        <v>1196</v>
      </c>
      <c r="AP1" s="997" t="s">
        <v>1197</v>
      </c>
      <c r="AQ1" s="997" t="s">
        <v>1198</v>
      </c>
      <c r="AS1" s="997" t="s">
        <v>1199</v>
      </c>
      <c r="AU1" s="997" t="s">
        <v>1200</v>
      </c>
      <c r="AW1" s="997" t="s">
        <v>1201</v>
      </c>
      <c r="AX1" s="997" t="s">
        <v>1202</v>
      </c>
      <c r="AZ1" s="1079" t="s">
        <v>1203</v>
      </c>
      <c r="BB1" s="997" t="s">
        <v>1204</v>
      </c>
      <c r="BC1" s="997"/>
      <c r="BE1" s="997" t="s">
        <v>1205</v>
      </c>
      <c r="BF1" s="997" t="s">
        <v>1206</v>
      </c>
      <c r="BH1" s="999" t="s">
        <v>810</v>
      </c>
      <c r="BI1" s="1000"/>
      <c r="BJ1" s="1001" t="s">
        <v>1207</v>
      </c>
      <c r="BK1" s="1000"/>
      <c r="BL1" s="1002" t="s">
        <v>909</v>
      </c>
      <c r="BM1" s="1000"/>
      <c r="BN1" s="1003" t="s">
        <v>1208</v>
      </c>
    </row>
    <row r="2" spans="1:79" ht="11.25" customHeight="1">
      <c r="A2" s="1004" t="s">
        <v>1209</v>
      </c>
      <c r="B2" s="1005">
        <v>2000</v>
      </c>
      <c r="C2" s="1005">
        <v>2022</v>
      </c>
      <c r="D2" s="1005" t="s">
        <v>65</v>
      </c>
      <c r="E2" s="1006" t="s">
        <v>1210</v>
      </c>
      <c r="F2" s="1006" t="s">
        <v>1211</v>
      </c>
      <c r="G2" s="1006" t="s">
        <v>1212</v>
      </c>
      <c r="H2" s="1007" t="s">
        <v>54</v>
      </c>
      <c r="I2" s="1006" t="s">
        <v>108</v>
      </c>
      <c r="J2" s="1006" t="s">
        <v>1213</v>
      </c>
      <c r="K2" s="1008" t="s">
        <v>1214</v>
      </c>
      <c r="L2" s="1009"/>
      <c r="M2" s="1008">
        <v>1</v>
      </c>
      <c r="N2" s="1089" t="s">
        <v>1215</v>
      </c>
      <c r="O2" s="1007" t="s">
        <v>1216</v>
      </c>
      <c r="P2" s="1010" t="s">
        <v>38</v>
      </c>
      <c r="Q2" s="1011" t="s">
        <v>1217</v>
      </c>
      <c r="R2" s="81" t="s">
        <v>1218</v>
      </c>
      <c r="S2" s="81" t="s">
        <v>1219</v>
      </c>
      <c r="T2" s="1012" t="s">
        <v>1220</v>
      </c>
      <c r="U2" s="1009" t="s">
        <v>1221</v>
      </c>
      <c r="V2" s="1013">
        <v>1</v>
      </c>
      <c r="W2" s="1014"/>
      <c r="X2" s="1014" t="s">
        <v>1222</v>
      </c>
      <c r="Y2" s="1005" t="s">
        <v>1223</v>
      </c>
      <c r="Z2" s="1015"/>
      <c r="AA2" s="1005" t="s">
        <v>1224</v>
      </c>
      <c r="AB2" s="1016" t="s">
        <v>1224</v>
      </c>
      <c r="AC2" s="1005" t="s">
        <v>1225</v>
      </c>
      <c r="AD2" s="1016" t="s">
        <v>1225</v>
      </c>
      <c r="AF2" s="1007" t="s">
        <v>1221</v>
      </c>
      <c r="AH2" s="1006" t="s">
        <v>1226</v>
      </c>
      <c r="AI2" s="1006" t="s">
        <v>1226</v>
      </c>
      <c r="AK2" s="1006" t="s">
        <v>1227</v>
      </c>
      <c r="AM2" s="1006" t="s">
        <v>1228</v>
      </c>
      <c r="AP2" s="1017" t="s">
        <v>1222</v>
      </c>
      <c r="AQ2" s="1018" t="s">
        <v>1222</v>
      </c>
      <c r="AS2" s="1005" t="s">
        <v>1229</v>
      </c>
      <c r="AU2" s="1047" t="s">
        <v>1230</v>
      </c>
      <c r="AW2" s="1047" t="s">
        <v>1231</v>
      </c>
      <c r="AX2" s="1047" t="s">
        <v>1231</v>
      </c>
      <c r="AZ2" s="1047" t="s">
        <v>1232</v>
      </c>
      <c r="BB2" s="1047" t="s">
        <v>1233</v>
      </c>
      <c r="BC2" s="1047" t="s">
        <v>1234</v>
      </c>
      <c r="BE2" s="1047">
        <v>2000</v>
      </c>
      <c r="BF2" s="1047" t="s">
        <v>1235</v>
      </c>
    </row>
    <row r="3" spans="1:79" ht="11.25" customHeight="1">
      <c r="A3" s="1004" t="s">
        <v>1236</v>
      </c>
      <c r="B3" s="1005">
        <v>2001</v>
      </c>
      <c r="C3" s="1005">
        <v>2023</v>
      </c>
      <c r="D3" s="1005" t="s">
        <v>19</v>
      </c>
      <c r="E3" s="1006" t="s">
        <v>1237</v>
      </c>
      <c r="F3" s="1006" t="s">
        <v>1238</v>
      </c>
      <c r="G3" s="1006" t="s">
        <v>1239</v>
      </c>
      <c r="H3" s="1007" t="s">
        <v>1240</v>
      </c>
      <c r="I3" s="1006" t="s">
        <v>109</v>
      </c>
      <c r="J3" s="1006" t="s">
        <v>558</v>
      </c>
      <c r="K3" s="1008" t="s">
        <v>1241</v>
      </c>
      <c r="L3" s="1009">
        <f>IFERROR(MATCH(K3,OFFER_METHOD,0),0)</f>
        <v>0</v>
      </c>
      <c r="M3" s="1008">
        <v>2</v>
      </c>
      <c r="N3" s="1089" t="s">
        <v>1242</v>
      </c>
      <c r="O3" s="1007" t="s">
        <v>1243</v>
      </c>
      <c r="P3" s="1010" t="s">
        <v>1244</v>
      </c>
      <c r="Q3" s="1011" t="s">
        <v>1245</v>
      </c>
      <c r="R3" s="81" t="s">
        <v>1246</v>
      </c>
      <c r="S3" s="81" t="s">
        <v>1247</v>
      </c>
      <c r="T3" s="1012" t="s">
        <v>1248</v>
      </c>
      <c r="U3" s="1009" t="s">
        <v>1249</v>
      </c>
      <c r="V3" s="1013">
        <v>2</v>
      </c>
      <c r="W3" s="1014"/>
      <c r="X3" s="1014" t="s">
        <v>1250</v>
      </c>
      <c r="Y3" s="1005" t="s">
        <v>1223</v>
      </c>
      <c r="Z3" s="1015"/>
      <c r="AA3" s="1005" t="s">
        <v>1251</v>
      </c>
      <c r="AB3" s="1016" t="s">
        <v>1251</v>
      </c>
      <c r="AC3" s="1005" t="s">
        <v>1252</v>
      </c>
      <c r="AD3" s="1016" t="s">
        <v>1252</v>
      </c>
      <c r="AF3" s="1007" t="s">
        <v>1249</v>
      </c>
      <c r="AH3" s="1006" t="s">
        <v>1253</v>
      </c>
      <c r="AI3" s="1006" t="s">
        <v>1254</v>
      </c>
      <c r="AK3" s="1006" t="s">
        <v>1255</v>
      </c>
      <c r="AM3" s="1006" t="s">
        <v>1256</v>
      </c>
      <c r="AP3" s="1017" t="s">
        <v>1257</v>
      </c>
      <c r="AQ3" s="1018" t="s">
        <v>1257</v>
      </c>
      <c r="AS3" s="1005" t="s">
        <v>1258</v>
      </c>
      <c r="AU3" s="1047" t="s">
        <v>1259</v>
      </c>
      <c r="AW3" s="1047" t="s">
        <v>1260</v>
      </c>
      <c r="AX3" s="1047" t="s">
        <v>1260</v>
      </c>
      <c r="AZ3" s="1047" t="s">
        <v>1261</v>
      </c>
      <c r="BB3" s="1047" t="s">
        <v>1262</v>
      </c>
      <c r="BC3" s="1047" t="s">
        <v>1234</v>
      </c>
      <c r="BE3" s="1047">
        <v>2001</v>
      </c>
      <c r="BF3" s="1047" t="s">
        <v>1263</v>
      </c>
      <c r="BH3" s="997" t="s">
        <v>1264</v>
      </c>
      <c r="BJ3" s="997" t="s">
        <v>1265</v>
      </c>
      <c r="BL3" s="997" t="s">
        <v>1266</v>
      </c>
      <c r="BN3" s="997" t="s">
        <v>1267</v>
      </c>
      <c r="BR3" s="997" t="s">
        <v>1268</v>
      </c>
      <c r="BS3" s="1355"/>
      <c r="BT3" s="1000"/>
      <c r="BU3" s="997" t="s">
        <v>1269</v>
      </c>
      <c r="BV3" s="1000"/>
      <c r="BW3" s="1617"/>
      <c r="BX3" s="1619" t="s">
        <v>1270</v>
      </c>
      <c r="CA3" s="997" t="s">
        <v>1271</v>
      </c>
    </row>
    <row r="4" spans="1:79" ht="11.25" customHeight="1">
      <c r="A4" s="1004" t="s">
        <v>1272</v>
      </c>
      <c r="B4" s="1005">
        <v>2002</v>
      </c>
      <c r="C4" s="1005">
        <v>2024</v>
      </c>
      <c r="E4" s="1006" t="s">
        <v>1273</v>
      </c>
      <c r="F4" s="1006" t="s">
        <v>35</v>
      </c>
      <c r="H4" s="1007" t="s">
        <v>1274</v>
      </c>
      <c r="I4" s="1006" t="s">
        <v>89</v>
      </c>
      <c r="J4" s="1006" t="s">
        <v>1275</v>
      </c>
      <c r="K4" s="1008" t="s">
        <v>1276</v>
      </c>
      <c r="L4" s="1009">
        <f>IFERROR(MATCH(K4,OFFER_METHOD,0),0)</f>
        <v>0</v>
      </c>
      <c r="M4" s="1008">
        <v>3</v>
      </c>
      <c r="N4" s="1089" t="s">
        <v>1277</v>
      </c>
      <c r="O4" s="1006" t="s">
        <v>1278</v>
      </c>
      <c r="Q4" s="1011" t="s">
        <v>1279</v>
      </c>
      <c r="R4" s="81" t="s">
        <v>1280</v>
      </c>
      <c r="S4" s="81" t="s">
        <v>1281</v>
      </c>
      <c r="T4" s="1012" t="s">
        <v>1282</v>
      </c>
      <c r="U4" s="1009" t="s">
        <v>1283</v>
      </c>
      <c r="V4" s="1013">
        <v>3</v>
      </c>
      <c r="W4" s="1014"/>
      <c r="X4" s="1014" t="s">
        <v>1284</v>
      </c>
      <c r="Y4" s="1005" t="s">
        <v>1223</v>
      </c>
      <c r="Z4" s="1020"/>
      <c r="AC4" s="1005" t="s">
        <v>1285</v>
      </c>
      <c r="AD4" s="1016" t="s">
        <v>1285</v>
      </c>
      <c r="AF4" s="1007" t="s">
        <v>1283</v>
      </c>
      <c r="AH4" s="1007" t="s">
        <v>1286</v>
      </c>
      <c r="AK4" s="1006" t="s">
        <v>1287</v>
      </c>
      <c r="AM4" s="1006" t="s">
        <v>1288</v>
      </c>
      <c r="AP4" s="1017" t="s">
        <v>1250</v>
      </c>
      <c r="AQ4" s="1018" t="s">
        <v>1250</v>
      </c>
      <c r="AS4" s="1005" t="s">
        <v>1289</v>
      </c>
      <c r="AU4" s="1047" t="s">
        <v>1290</v>
      </c>
      <c r="AW4" s="1047" t="s">
        <v>1291</v>
      </c>
      <c r="AX4" s="1047" t="s">
        <v>1291</v>
      </c>
      <c r="AZ4" s="1047" t="s">
        <v>1292</v>
      </c>
      <c r="BB4" s="1047" t="s">
        <v>1293</v>
      </c>
      <c r="BC4" s="1047" t="s">
        <v>1294</v>
      </c>
      <c r="BE4" s="1047">
        <v>2002</v>
      </c>
      <c r="BF4" s="1047" t="s">
        <v>1295</v>
      </c>
      <c r="BH4" s="998" t="s">
        <v>1296</v>
      </c>
      <c r="BJ4" s="998" t="s">
        <v>1296</v>
      </c>
      <c r="BL4" s="998" t="s">
        <v>1296</v>
      </c>
      <c r="BN4" s="998" t="s">
        <v>1296</v>
      </c>
      <c r="BQ4" s="1359" t="s">
        <v>1297</v>
      </c>
      <c r="BR4" s="1086" t="s">
        <v>1298</v>
      </c>
      <c r="BS4" s="211"/>
      <c r="BT4" s="1359" t="s">
        <v>1299</v>
      </c>
      <c r="BU4" s="1086" t="s">
        <v>1300</v>
      </c>
      <c r="BV4" s="1000"/>
      <c r="BW4" s="1624" t="s">
        <v>1301</v>
      </c>
      <c r="BX4" s="1618" t="s">
        <v>1302</v>
      </c>
      <c r="BZ4" s="1359" t="s">
        <v>1303</v>
      </c>
      <c r="CA4" s="1086" t="s">
        <v>1304</v>
      </c>
    </row>
    <row r="5" spans="1:79" ht="11.25" customHeight="1">
      <c r="A5" s="1004" t="s">
        <v>1305</v>
      </c>
      <c r="B5" s="1005">
        <v>2003</v>
      </c>
      <c r="C5" s="1005">
        <v>2025</v>
      </c>
      <c r="E5" s="1006" t="s">
        <v>1306</v>
      </c>
      <c r="F5" s="1006" t="s">
        <v>1307</v>
      </c>
      <c r="H5" s="1007" t="s">
        <v>1308</v>
      </c>
      <c r="I5" s="1006" t="s">
        <v>90</v>
      </c>
      <c r="K5" s="1008" t="s">
        <v>1309</v>
      </c>
      <c r="L5" s="1009">
        <f>IFERROR(MATCH(K5,OFFER_METHOD,0),0)</f>
        <v>0</v>
      </c>
      <c r="M5" s="1008">
        <v>4</v>
      </c>
      <c r="N5" s="1021" t="s">
        <v>1310</v>
      </c>
      <c r="O5" s="1006" t="s">
        <v>1311</v>
      </c>
      <c r="Q5" s="1011" t="s">
        <v>1312</v>
      </c>
      <c r="R5" s="81" t="s">
        <v>1313</v>
      </c>
      <c r="T5" s="1007" t="s">
        <v>1314</v>
      </c>
      <c r="U5" s="1009" t="s">
        <v>1315</v>
      </c>
      <c r="V5" s="1013">
        <v>4</v>
      </c>
      <c r="W5" s="1014"/>
      <c r="X5" s="1014" t="s">
        <v>170</v>
      </c>
      <c r="Y5" s="1005" t="s">
        <v>1316</v>
      </c>
      <c r="Z5" s="1020">
        <v>1</v>
      </c>
      <c r="AF5" s="1007" t="s">
        <v>1317</v>
      </c>
      <c r="AH5" s="1006" t="s">
        <v>1318</v>
      </c>
      <c r="AK5" s="1006" t="s">
        <v>1319</v>
      </c>
      <c r="AM5" s="1006" t="s">
        <v>1320</v>
      </c>
      <c r="AP5" s="1017" t="s">
        <v>170</v>
      </c>
      <c r="AQ5" s="1018" t="s">
        <v>170</v>
      </c>
      <c r="AU5" s="1047" t="s">
        <v>1321</v>
      </c>
      <c r="AW5" s="1047" t="s">
        <v>1322</v>
      </c>
      <c r="AX5" s="1047" t="s">
        <v>1322</v>
      </c>
      <c r="AZ5" s="1047" t="s">
        <v>1323</v>
      </c>
      <c r="BB5" s="1047" t="s">
        <v>1324</v>
      </c>
      <c r="BC5" s="1047" t="s">
        <v>1325</v>
      </c>
      <c r="BE5" s="1047">
        <v>2003</v>
      </c>
      <c r="BF5" s="1047" t="s">
        <v>1326</v>
      </c>
      <c r="BH5" s="998" t="s">
        <v>1327</v>
      </c>
      <c r="BJ5" s="998" t="s">
        <v>1327</v>
      </c>
      <c r="BL5" s="998" t="s">
        <v>1327</v>
      </c>
      <c r="BN5" s="998" t="s">
        <v>1328</v>
      </c>
      <c r="BQ5" s="1208">
        <v>4213775</v>
      </c>
      <c r="BR5" s="998" t="s">
        <v>1222</v>
      </c>
      <c r="BS5" s="1356"/>
      <c r="BT5" s="1208">
        <v>64236871</v>
      </c>
      <c r="BU5" s="998" t="s">
        <v>231</v>
      </c>
      <c r="BV5" s="1000"/>
      <c r="BW5" s="1622">
        <v>4213767</v>
      </c>
      <c r="BX5" s="1620" t="s">
        <v>1329</v>
      </c>
      <c r="BZ5" s="1208">
        <v>64237509</v>
      </c>
      <c r="CA5" s="1222" t="s">
        <v>1330</v>
      </c>
    </row>
    <row r="6" spans="1:79" ht="11.25" customHeight="1">
      <c r="A6" s="1004" t="s">
        <v>1331</v>
      </c>
      <c r="B6" s="1005">
        <v>2004</v>
      </c>
      <c r="C6" s="1005">
        <v>2026</v>
      </c>
      <c r="E6" s="1006" t="s">
        <v>1332</v>
      </c>
      <c r="F6" s="1022"/>
      <c r="H6" s="1007" t="s">
        <v>1333</v>
      </c>
      <c r="I6" s="1006" t="s">
        <v>110</v>
      </c>
      <c r="J6" s="997" t="s">
        <v>1334</v>
      </c>
      <c r="L6" s="1009">
        <f>SUM(kind_of_control_method_filter)</f>
        <v>0</v>
      </c>
      <c r="N6" s="1021" t="s">
        <v>1335</v>
      </c>
      <c r="O6" s="1006" t="s">
        <v>1336</v>
      </c>
      <c r="R6" s="81" t="s">
        <v>1217</v>
      </c>
      <c r="T6" s="1007" t="s">
        <v>1337</v>
      </c>
      <c r="U6" s="1009" t="s">
        <v>1317</v>
      </c>
      <c r="V6" s="1013">
        <v>5</v>
      </c>
      <c r="W6" s="1014"/>
      <c r="X6" s="1005" t="s">
        <v>176</v>
      </c>
      <c r="Y6" s="1005" t="s">
        <v>1338</v>
      </c>
      <c r="Z6" s="1020"/>
      <c r="AA6" s="1023"/>
      <c r="AH6" s="1006" t="s">
        <v>1339</v>
      </c>
      <c r="AK6" s="1006" t="s">
        <v>1340</v>
      </c>
      <c r="AM6" s="1006" t="s">
        <v>1341</v>
      </c>
      <c r="AP6" s="1017" t="s">
        <v>176</v>
      </c>
      <c r="AQ6" s="1018" t="s">
        <v>176</v>
      </c>
      <c r="AU6" s="1047" t="s">
        <v>1342</v>
      </c>
      <c r="AW6" s="1047" t="s">
        <v>1343</v>
      </c>
      <c r="AX6" s="1047" t="s">
        <v>1343</v>
      </c>
      <c r="BB6" s="1047" t="s">
        <v>1344</v>
      </c>
      <c r="BC6" s="1047" t="s">
        <v>1325</v>
      </c>
      <c r="BE6" s="1047">
        <v>2004</v>
      </c>
      <c r="BF6" s="1047" t="s">
        <v>1345</v>
      </c>
      <c r="BH6" s="998" t="s">
        <v>1346</v>
      </c>
      <c r="BJ6" s="998" t="s">
        <v>1347</v>
      </c>
      <c r="BL6" s="998" t="s">
        <v>1347</v>
      </c>
      <c r="BN6" s="998" t="s">
        <v>1348</v>
      </c>
      <c r="BQ6" s="1208">
        <v>4213784</v>
      </c>
      <c r="BR6" s="1222" t="s">
        <v>1257</v>
      </c>
      <c r="BS6" s="1357"/>
      <c r="BT6" s="1208">
        <v>64236872</v>
      </c>
      <c r="BU6" s="998" t="s">
        <v>236</v>
      </c>
      <c r="BV6" s="1000"/>
      <c r="BW6" s="1622">
        <v>4213768</v>
      </c>
      <c r="BX6" s="1620" t="s">
        <v>256</v>
      </c>
      <c r="BZ6" s="1208">
        <v>64237510</v>
      </c>
      <c r="CA6" s="998" t="s">
        <v>1349</v>
      </c>
    </row>
    <row r="7" spans="1:79" ht="11.25" customHeight="1">
      <c r="A7" s="1004" t="s">
        <v>1350</v>
      </c>
      <c r="B7" s="1005">
        <v>2005</v>
      </c>
      <c r="E7" s="1006" t="s">
        <v>1351</v>
      </c>
      <c r="F7" s="1022"/>
      <c r="H7" s="1007" t="s">
        <v>1352</v>
      </c>
      <c r="I7" s="1006" t="s">
        <v>91</v>
      </c>
      <c r="J7" s="1006" t="s">
        <v>1353</v>
      </c>
      <c r="N7" s="1025" t="s">
        <v>1354</v>
      </c>
      <c r="O7" s="1006" t="s">
        <v>1355</v>
      </c>
      <c r="U7" s="1009" t="s">
        <v>19</v>
      </c>
      <c r="V7" s="307" t="s">
        <v>91</v>
      </c>
      <c r="W7" s="1014"/>
      <c r="X7" s="1005" t="s">
        <v>182</v>
      </c>
      <c r="Y7" s="1005" t="s">
        <v>1316</v>
      </c>
      <c r="Z7" s="1020"/>
      <c r="AA7" s="1023"/>
      <c r="AH7" s="1006" t="s">
        <v>1356</v>
      </c>
      <c r="AK7" s="1006" t="s">
        <v>1357</v>
      </c>
      <c r="AM7" s="1006" t="s">
        <v>1358</v>
      </c>
      <c r="AP7" s="1017" t="s">
        <v>182</v>
      </c>
      <c r="AQ7" s="1018" t="s">
        <v>182</v>
      </c>
      <c r="AU7" s="1047" t="s">
        <v>1359</v>
      </c>
      <c r="AW7" s="1047" t="s">
        <v>1360</v>
      </c>
      <c r="AX7" s="1047" t="s">
        <v>1360</v>
      </c>
      <c r="AZ7" s="997" t="s">
        <v>1361</v>
      </c>
      <c r="BB7" s="1047" t="s">
        <v>1362</v>
      </c>
      <c r="BC7" s="1047" t="s">
        <v>1325</v>
      </c>
      <c r="BE7" s="1047">
        <v>2005</v>
      </c>
      <c r="BF7" s="1047" t="s">
        <v>1363</v>
      </c>
      <c r="BH7" s="998" t="s">
        <v>1364</v>
      </c>
      <c r="BJ7" s="998" t="s">
        <v>1346</v>
      </c>
      <c r="BL7" s="998" t="s">
        <v>1346</v>
      </c>
      <c r="BN7" s="998" t="s">
        <v>1365</v>
      </c>
      <c r="BQ7" s="1208">
        <v>4213781</v>
      </c>
      <c r="BR7" s="998" t="s">
        <v>1250</v>
      </c>
      <c r="BS7" s="1356"/>
      <c r="BT7" s="1208">
        <v>64236873</v>
      </c>
      <c r="BU7" s="998" t="s">
        <v>241</v>
      </c>
      <c r="BV7" s="1000"/>
      <c r="BW7" s="1622">
        <v>4213769</v>
      </c>
      <c r="BX7" s="1620" t="s">
        <v>1366</v>
      </c>
      <c r="BZ7" s="1208">
        <v>64237511</v>
      </c>
      <c r="CA7" s="998" t="s">
        <v>271</v>
      </c>
    </row>
    <row r="8" spans="1:79" ht="11.25" customHeight="1">
      <c r="A8" s="1004" t="s">
        <v>1367</v>
      </c>
      <c r="B8" s="1005">
        <v>2006</v>
      </c>
      <c r="E8" s="1006" t="s">
        <v>1368</v>
      </c>
      <c r="F8" s="1022"/>
      <c r="H8" s="1007" t="s">
        <v>1369</v>
      </c>
      <c r="I8" s="1006" t="s">
        <v>92</v>
      </c>
      <c r="J8" s="1006" t="s">
        <v>1370</v>
      </c>
      <c r="N8" s="1090" t="s">
        <v>1371</v>
      </c>
      <c r="O8" s="1006" t="s">
        <v>1372</v>
      </c>
      <c r="V8" s="307" t="s">
        <v>92</v>
      </c>
      <c r="W8" s="1014"/>
      <c r="X8" s="1005" t="s">
        <v>188</v>
      </c>
      <c r="Y8" s="1005" t="s">
        <v>1316</v>
      </c>
      <c r="Z8" s="1020"/>
      <c r="AA8" s="1023"/>
      <c r="AK8" s="1006" t="s">
        <v>1373</v>
      </c>
      <c r="AP8" s="1017" t="s">
        <v>188</v>
      </c>
      <c r="AQ8" s="1018" t="s">
        <v>188</v>
      </c>
      <c r="AU8" s="1047" t="s">
        <v>1374</v>
      </c>
      <c r="AW8" s="1047" t="s">
        <v>1375</v>
      </c>
      <c r="AX8" s="1047" t="s">
        <v>1375</v>
      </c>
      <c r="AZ8" s="1047" t="s">
        <v>1376</v>
      </c>
      <c r="BB8" s="1047" t="s">
        <v>1377</v>
      </c>
      <c r="BC8" s="1047" t="s">
        <v>1325</v>
      </c>
      <c r="BE8" s="1047">
        <v>2006</v>
      </c>
      <c r="BF8" s="1047" t="s">
        <v>1378</v>
      </c>
      <c r="BH8" s="998" t="s">
        <v>1379</v>
      </c>
      <c r="BJ8" s="998" t="s">
        <v>1380</v>
      </c>
      <c r="BL8" s="998" t="s">
        <v>1380</v>
      </c>
      <c r="BN8" s="998" t="s">
        <v>1381</v>
      </c>
      <c r="BQ8" s="1208">
        <v>4213776</v>
      </c>
      <c r="BR8" s="998" t="s">
        <v>170</v>
      </c>
      <c r="BS8" s="1356"/>
      <c r="BT8" s="1208">
        <v>64236874</v>
      </c>
      <c r="BU8" s="1222" t="s">
        <v>1382</v>
      </c>
      <c r="BV8" s="1000"/>
      <c r="BW8" s="1622">
        <v>4213770</v>
      </c>
      <c r="BX8" s="1623" t="s">
        <v>1383</v>
      </c>
      <c r="BZ8" s="1208">
        <v>64237512</v>
      </c>
      <c r="CA8" s="998" t="s">
        <v>266</v>
      </c>
    </row>
    <row r="9" spans="1:79" ht="11.25" customHeight="1">
      <c r="A9" s="1004" t="s">
        <v>16</v>
      </c>
      <c r="B9" s="1005">
        <v>2007</v>
      </c>
      <c r="E9" s="1006" t="s">
        <v>1384</v>
      </c>
      <c r="F9" s="1022"/>
      <c r="G9" s="997" t="s">
        <v>1385</v>
      </c>
      <c r="H9" s="997" t="s">
        <v>1386</v>
      </c>
      <c r="I9" s="1006" t="s">
        <v>111</v>
      </c>
      <c r="O9" s="1006" t="s">
        <v>1387</v>
      </c>
      <c r="V9" s="307" t="s">
        <v>111</v>
      </c>
      <c r="W9" s="1014"/>
      <c r="X9" s="1005" t="s">
        <v>194</v>
      </c>
      <c r="Y9" s="1005" t="s">
        <v>1223</v>
      </c>
      <c r="Z9" s="1020">
        <v>1</v>
      </c>
      <c r="AA9" s="1023"/>
      <c r="AK9" s="1006" t="s">
        <v>1388</v>
      </c>
      <c r="AP9" s="1017" t="s">
        <v>1389</v>
      </c>
      <c r="AQ9" s="1018" t="s">
        <v>1389</v>
      </c>
      <c r="AW9" s="1047" t="s">
        <v>1390</v>
      </c>
      <c r="AX9" s="1047" t="s">
        <v>1390</v>
      </c>
      <c r="AZ9" s="1047" t="s">
        <v>1391</v>
      </c>
      <c r="BB9" s="1047" t="s">
        <v>1392</v>
      </c>
      <c r="BC9" s="1047" t="s">
        <v>1325</v>
      </c>
      <c r="BE9" s="1047">
        <v>2007</v>
      </c>
      <c r="BF9" s="1047" t="s">
        <v>1393</v>
      </c>
      <c r="BH9" s="998" t="s">
        <v>1394</v>
      </c>
      <c r="BJ9" s="998" t="s">
        <v>1395</v>
      </c>
      <c r="BL9" s="998" t="s">
        <v>1395</v>
      </c>
      <c r="BN9" s="998" t="s">
        <v>1396</v>
      </c>
      <c r="BQ9" s="1208">
        <v>4213777</v>
      </c>
      <c r="BR9" s="998" t="s">
        <v>176</v>
      </c>
      <c r="BS9" s="1356"/>
      <c r="BT9" s="1208">
        <v>64236875</v>
      </c>
      <c r="BU9" s="998" t="s">
        <v>246</v>
      </c>
      <c r="BV9" s="1000"/>
      <c r="BW9" s="1617"/>
      <c r="BX9" s="1617"/>
    </row>
    <row r="10" spans="1:79" ht="11.25" customHeight="1">
      <c r="A10" s="1004" t="s">
        <v>1397</v>
      </c>
      <c r="B10" s="1005">
        <v>2008</v>
      </c>
      <c r="E10" s="1006" t="s">
        <v>1398</v>
      </c>
      <c r="F10" s="1022"/>
      <c r="G10" s="1006" t="s">
        <v>1399</v>
      </c>
      <c r="H10" s="1006" t="s">
        <v>1400</v>
      </c>
      <c r="I10" s="1006" t="s">
        <v>152</v>
      </c>
      <c r="J10" s="997" t="s">
        <v>1401</v>
      </c>
      <c r="K10" s="997" t="s">
        <v>1402</v>
      </c>
      <c r="O10" s="1006" t="s">
        <v>1403</v>
      </c>
      <c r="V10" s="308" t="s">
        <v>152</v>
      </c>
      <c r="W10" s="1026"/>
      <c r="X10" s="1026" t="s">
        <v>1404</v>
      </c>
      <c r="Y10" s="1027" t="s">
        <v>1405</v>
      </c>
      <c r="Z10" s="1020"/>
      <c r="AP10" s="1017" t="s">
        <v>1404</v>
      </c>
      <c r="AQ10" s="1018" t="s">
        <v>1404</v>
      </c>
      <c r="AW10" s="1047" t="s">
        <v>1406</v>
      </c>
      <c r="AX10" s="1047" t="s">
        <v>1406</v>
      </c>
      <c r="AZ10" s="1047" t="s">
        <v>1407</v>
      </c>
      <c r="BB10" s="1047" t="s">
        <v>1408</v>
      </c>
      <c r="BC10" s="1047" t="s">
        <v>1325</v>
      </c>
      <c r="BE10" s="1047">
        <v>2008</v>
      </c>
      <c r="BF10" s="1047" t="s">
        <v>1409</v>
      </c>
      <c r="BH10" s="998" t="s">
        <v>1410</v>
      </c>
      <c r="BJ10" s="998" t="s">
        <v>1411</v>
      </c>
      <c r="BL10" s="998" t="s">
        <v>1411</v>
      </c>
      <c r="BN10" s="998" t="s">
        <v>1412</v>
      </c>
      <c r="BQ10" s="1208">
        <v>4213778</v>
      </c>
      <c r="BR10" s="998" t="s">
        <v>182</v>
      </c>
      <c r="BS10" s="1356"/>
      <c r="BT10" s="1208">
        <v>64236876</v>
      </c>
      <c r="BU10" s="998" t="s">
        <v>226</v>
      </c>
      <c r="BV10" s="1000"/>
      <c r="BW10" s="1617"/>
      <c r="BX10" s="1617"/>
    </row>
    <row r="11" spans="1:79" ht="11.25" customHeight="1">
      <c r="A11" s="1004" t="s">
        <v>1413</v>
      </c>
      <c r="B11" s="1005">
        <v>2009</v>
      </c>
      <c r="E11" s="1006" t="s">
        <v>1414</v>
      </c>
      <c r="F11" s="1022"/>
      <c r="G11" s="1006" t="s">
        <v>1415</v>
      </c>
      <c r="H11" s="1006" t="s">
        <v>1416</v>
      </c>
      <c r="I11" s="1006" t="s">
        <v>153</v>
      </c>
      <c r="J11" s="1007" t="s">
        <v>1417</v>
      </c>
      <c r="K11" s="1028" t="s">
        <v>1418</v>
      </c>
      <c r="O11" s="1007" t="s">
        <v>1419</v>
      </c>
      <c r="V11" s="307" t="s">
        <v>153</v>
      </c>
      <c r="W11" s="212"/>
      <c r="X11" s="1014" t="s">
        <v>1389</v>
      </c>
      <c r="Y11" s="1005" t="s">
        <v>1420</v>
      </c>
      <c r="Z11" s="1020"/>
      <c r="AP11" s="1017" t="s">
        <v>194</v>
      </c>
      <c r="AQ11" s="1019" t="s">
        <v>194</v>
      </c>
      <c r="AW11" s="1047" t="s">
        <v>1421</v>
      </c>
      <c r="AX11" s="1047" t="s">
        <v>1421</v>
      </c>
      <c r="AZ11" s="1047" t="s">
        <v>1422</v>
      </c>
      <c r="BB11" s="1047" t="s">
        <v>1423</v>
      </c>
      <c r="BC11" s="1047" t="s">
        <v>1325</v>
      </c>
      <c r="BE11" s="1047">
        <v>2009</v>
      </c>
      <c r="BF11" s="1047" t="s">
        <v>1424</v>
      </c>
      <c r="BH11" s="998" t="s">
        <v>1425</v>
      </c>
      <c r="BJ11" s="998" t="s">
        <v>1394</v>
      </c>
      <c r="BL11" s="998" t="s">
        <v>1394</v>
      </c>
      <c r="BN11" s="998" t="s">
        <v>1426</v>
      </c>
      <c r="BQ11" s="1208">
        <v>4213780</v>
      </c>
      <c r="BR11" s="998" t="s">
        <v>188</v>
      </c>
      <c r="BS11" s="1356"/>
      <c r="BW11" s="1617"/>
      <c r="BX11" s="1617"/>
    </row>
    <row r="12" spans="1:79" ht="11.25" customHeight="1">
      <c r="A12" s="1004" t="s">
        <v>1427</v>
      </c>
      <c r="B12" s="1005">
        <v>2010</v>
      </c>
      <c r="E12" s="1006" t="s">
        <v>1428</v>
      </c>
      <c r="F12" s="1022"/>
      <c r="G12" s="1006" t="s">
        <v>1416</v>
      </c>
      <c r="I12" s="1006" t="s">
        <v>154</v>
      </c>
      <c r="J12" s="1007" t="s">
        <v>1429</v>
      </c>
      <c r="K12" s="1028" t="s">
        <v>1430</v>
      </c>
      <c r="O12" s="1007" t="s">
        <v>1217</v>
      </c>
      <c r="V12" s="307" t="s">
        <v>154</v>
      </c>
      <c r="W12" s="1019"/>
      <c r="X12" s="1014" t="s">
        <v>1431</v>
      </c>
      <c r="Y12" s="1005" t="s">
        <v>1223</v>
      </c>
      <c r="AP12" s="1017"/>
      <c r="AW12" s="1047" t="s">
        <v>153</v>
      </c>
      <c r="AX12" s="1047" t="s">
        <v>153</v>
      </c>
      <c r="AZ12" s="1047" t="s">
        <v>1432</v>
      </c>
      <c r="BB12" s="1047" t="s">
        <v>1433</v>
      </c>
      <c r="BC12" s="1047" t="s">
        <v>1325</v>
      </c>
      <c r="BE12" s="1047">
        <v>2010</v>
      </c>
      <c r="BF12" s="1047" t="s">
        <v>1434</v>
      </c>
      <c r="BH12" s="998" t="s">
        <v>1435</v>
      </c>
      <c r="BJ12" s="998" t="s">
        <v>1436</v>
      </c>
      <c r="BL12" s="998" t="s">
        <v>1436</v>
      </c>
      <c r="BN12" s="998" t="s">
        <v>1437</v>
      </c>
      <c r="BQ12" s="1208">
        <v>4213779</v>
      </c>
      <c r="BR12" s="998" t="s">
        <v>1389</v>
      </c>
      <c r="BS12" s="1356"/>
      <c r="BT12" s="1000"/>
      <c r="BU12" s="1000"/>
      <c r="BV12" s="1000"/>
      <c r="BW12" s="1617"/>
      <c r="BX12" s="1617"/>
    </row>
    <row r="13" spans="1:79" ht="11.25" customHeight="1">
      <c r="A13" s="1004" t="s">
        <v>1438</v>
      </c>
      <c r="B13" s="1005">
        <v>2011</v>
      </c>
      <c r="E13" s="1006" t="s">
        <v>1439</v>
      </c>
      <c r="F13" s="1022"/>
      <c r="I13" s="1006" t="s">
        <v>155</v>
      </c>
      <c r="K13" s="1028" t="s">
        <v>1388</v>
      </c>
      <c r="V13" s="307" t="s">
        <v>155</v>
      </c>
      <c r="W13" s="1019"/>
      <c r="X13" s="1019"/>
      <c r="Y13" s="1019"/>
      <c r="AW13" s="1047" t="s">
        <v>154</v>
      </c>
      <c r="AX13" s="1047" t="s">
        <v>154</v>
      </c>
      <c r="BB13" s="1047" t="s">
        <v>1440</v>
      </c>
      <c r="BC13" s="1047" t="s">
        <v>1441</v>
      </c>
      <c r="BE13" s="1047">
        <v>2011</v>
      </c>
      <c r="BF13" s="1047" t="s">
        <v>1442</v>
      </c>
      <c r="BH13" s="998" t="s">
        <v>1443</v>
      </c>
      <c r="BJ13" s="998" t="s">
        <v>1425</v>
      </c>
      <c r="BL13" s="998" t="s">
        <v>1425</v>
      </c>
      <c r="BN13" s="998" t="s">
        <v>1444</v>
      </c>
      <c r="BQ13" s="1208">
        <v>4213783</v>
      </c>
      <c r="BR13" s="998" t="s">
        <v>1404</v>
      </c>
      <c r="BS13" s="1356"/>
      <c r="BT13" s="1000"/>
      <c r="BU13" s="1000"/>
      <c r="BV13" s="1000"/>
      <c r="BW13" s="1621"/>
      <c r="BX13" s="1617"/>
    </row>
    <row r="14" spans="1:79" ht="11.25" customHeight="1">
      <c r="A14" s="1004" t="s">
        <v>1445</v>
      </c>
      <c r="B14" s="1005">
        <v>2012</v>
      </c>
      <c r="I14" s="1006" t="s">
        <v>156</v>
      </c>
      <c r="J14" s="997" t="s">
        <v>1446</v>
      </c>
      <c r="N14" s="997" t="s">
        <v>1447</v>
      </c>
      <c r="V14" s="1013">
        <v>13</v>
      </c>
      <c r="W14" s="1014"/>
      <c r="X14" s="1014" t="s">
        <v>1257</v>
      </c>
      <c r="Y14" s="1005" t="s">
        <v>1223</v>
      </c>
      <c r="AW14" s="1047" t="s">
        <v>155</v>
      </c>
      <c r="AX14" s="1047" t="s">
        <v>155</v>
      </c>
      <c r="AZ14" s="997" t="s">
        <v>1448</v>
      </c>
      <c r="BB14" s="1047" t="s">
        <v>1449</v>
      </c>
      <c r="BC14" s="1047" t="s">
        <v>1441</v>
      </c>
      <c r="BE14" s="1047">
        <v>2012</v>
      </c>
      <c r="BH14" s="998" t="s">
        <v>1365</v>
      </c>
      <c r="BJ14" s="1144" t="s">
        <v>1450</v>
      </c>
      <c r="BL14" s="1144" t="s">
        <v>1450</v>
      </c>
      <c r="BN14" s="998" t="s">
        <v>1451</v>
      </c>
      <c r="BQ14" s="1208">
        <v>4213782</v>
      </c>
      <c r="BR14" s="998" t="s">
        <v>194</v>
      </c>
      <c r="BS14" s="1356"/>
      <c r="BT14" s="1000"/>
      <c r="BU14" s="1000"/>
      <c r="BV14" s="1000"/>
      <c r="BW14" s="1621"/>
      <c r="BX14" s="1617"/>
    </row>
    <row r="15" spans="1:79" ht="19.5" customHeight="1">
      <c r="A15" s="1004" t="s">
        <v>1452</v>
      </c>
      <c r="B15" s="1005">
        <v>2013</v>
      </c>
      <c r="E15" s="1625" t="s">
        <v>1453</v>
      </c>
      <c r="G15" s="997" t="s">
        <v>1454</v>
      </c>
      <c r="H15" s="997" t="s">
        <v>1455</v>
      </c>
      <c r="I15" s="1008" t="s">
        <v>157</v>
      </c>
      <c r="J15" s="1019" t="s">
        <v>585</v>
      </c>
      <c r="N15" s="1085" t="s">
        <v>1456</v>
      </c>
      <c r="X15" s="1017"/>
      <c r="AW15" s="1047" t="s">
        <v>156</v>
      </c>
      <c r="AX15" s="1047" t="s">
        <v>156</v>
      </c>
      <c r="AZ15" s="1047" t="s">
        <v>1376</v>
      </c>
      <c r="BB15" s="1047" t="s">
        <v>1457</v>
      </c>
      <c r="BC15" s="1047" t="s">
        <v>1441</v>
      </c>
      <c r="BE15" s="1047">
        <v>2013</v>
      </c>
      <c r="BH15" s="998" t="s">
        <v>1381</v>
      </c>
      <c r="BJ15" s="1144" t="s">
        <v>1458</v>
      </c>
      <c r="BL15" s="1144" t="s">
        <v>1458</v>
      </c>
      <c r="BN15" s="998" t="s">
        <v>1459</v>
      </c>
      <c r="BR15" s="1000"/>
      <c r="BS15" s="1358"/>
      <c r="BT15" s="1000"/>
      <c r="BU15" s="1000"/>
      <c r="BV15" s="1000"/>
      <c r="BW15" s="1621"/>
      <c r="BX15" s="1617"/>
    </row>
    <row r="16" spans="1:79" ht="21" customHeight="1">
      <c r="A16" s="1796" t="s">
        <v>1460</v>
      </c>
      <c r="B16" s="1005">
        <v>2014</v>
      </c>
      <c r="E16" s="1626" t="s">
        <v>1461</v>
      </c>
      <c r="G16" s="1006" t="s">
        <v>1462</v>
      </c>
      <c r="H16" s="1006" t="s">
        <v>1463</v>
      </c>
      <c r="I16" s="1008" t="s">
        <v>1464</v>
      </c>
      <c r="J16" s="1019" t="s">
        <v>558</v>
      </c>
      <c r="N16" s="1085" t="s">
        <v>1465</v>
      </c>
      <c r="AW16" s="1047" t="s">
        <v>157</v>
      </c>
      <c r="AX16" s="1047" t="s">
        <v>157</v>
      </c>
      <c r="AZ16" s="1047" t="s">
        <v>1391</v>
      </c>
      <c r="BB16" s="1047" t="s">
        <v>1466</v>
      </c>
      <c r="BC16" s="1047" t="s">
        <v>1441</v>
      </c>
      <c r="BE16" s="1047">
        <v>2014</v>
      </c>
      <c r="BH16" s="998" t="s">
        <v>1396</v>
      </c>
      <c r="BJ16" s="1144" t="s">
        <v>1467</v>
      </c>
      <c r="BL16" s="1144" t="s">
        <v>1467</v>
      </c>
      <c r="BN16" s="998" t="s">
        <v>1468</v>
      </c>
      <c r="BR16" s="1000"/>
      <c r="BS16" s="1358"/>
      <c r="BT16" s="1000"/>
      <c r="BU16" s="1000"/>
      <c r="BV16" s="1000"/>
      <c r="BW16" s="1621"/>
      <c r="BX16" s="1617"/>
    </row>
    <row r="17" spans="1:82" ht="21" customHeight="1">
      <c r="A17" s="1004" t="s">
        <v>1469</v>
      </c>
      <c r="B17" s="1005">
        <v>2015</v>
      </c>
      <c r="G17" s="1006" t="s">
        <v>1416</v>
      </c>
      <c r="H17" s="1006" t="s">
        <v>1416</v>
      </c>
      <c r="I17" s="1006" t="s">
        <v>1470</v>
      </c>
      <c r="N17" s="1085" t="s">
        <v>1471</v>
      </c>
      <c r="X17" s="1017"/>
      <c r="AW17" s="1047" t="s">
        <v>1464</v>
      </c>
      <c r="AX17" s="1047" t="s">
        <v>1464</v>
      </c>
      <c r="AZ17" s="1047" t="s">
        <v>1472</v>
      </c>
      <c r="BB17" s="1047" t="s">
        <v>1473</v>
      </c>
      <c r="BC17" s="1047" t="s">
        <v>1325</v>
      </c>
      <c r="BE17" s="1047">
        <v>2015</v>
      </c>
      <c r="BH17" s="998" t="s">
        <v>1412</v>
      </c>
      <c r="BJ17" s="1144" t="s">
        <v>1474</v>
      </c>
      <c r="BL17" s="1144" t="s">
        <v>1474</v>
      </c>
      <c r="BN17" s="998" t="s">
        <v>1475</v>
      </c>
      <c r="BR17" s="997" t="s">
        <v>1268</v>
      </c>
      <c r="BS17" s="1355"/>
      <c r="BU17" s="997" t="s">
        <v>1476</v>
      </c>
      <c r="BV17" s="1000"/>
      <c r="BW17" s="1617"/>
      <c r="BX17" s="1619" t="s">
        <v>1477</v>
      </c>
      <c r="CA17" s="997" t="s">
        <v>1478</v>
      </c>
      <c r="CD17" s="997" t="s">
        <v>1479</v>
      </c>
    </row>
    <row r="18" spans="1:82" ht="21" customHeight="1">
      <c r="A18" s="1004" t="s">
        <v>1480</v>
      </c>
      <c r="B18" s="1005">
        <v>2016</v>
      </c>
      <c r="E18" s="1928" t="s">
        <v>1481</v>
      </c>
      <c r="I18" s="1006" t="s">
        <v>1482</v>
      </c>
      <c r="N18" s="1085" t="s">
        <v>1483</v>
      </c>
      <c r="X18" s="1017"/>
      <c r="AW18" s="1047" t="s">
        <v>1470</v>
      </c>
      <c r="AX18" s="1047" t="s">
        <v>1470</v>
      </c>
      <c r="BB18" s="1047" t="s">
        <v>1484</v>
      </c>
      <c r="BC18" s="1047" t="s">
        <v>1325</v>
      </c>
      <c r="BE18" s="1047">
        <v>2016</v>
      </c>
      <c r="BH18" s="998" t="s">
        <v>1426</v>
      </c>
      <c r="BJ18" s="1144" t="s">
        <v>1485</v>
      </c>
      <c r="BL18" s="1144" t="s">
        <v>1485</v>
      </c>
      <c r="BN18" s="998" t="s">
        <v>1486</v>
      </c>
      <c r="BQ18" s="1359" t="s">
        <v>1297</v>
      </c>
      <c r="BR18" s="1086" t="s">
        <v>1298</v>
      </c>
      <c r="BS18" s="211"/>
      <c r="BT18" s="1359" t="s">
        <v>1487</v>
      </c>
      <c r="BU18" s="1086" t="s">
        <v>1488</v>
      </c>
      <c r="BV18" s="1000"/>
      <c r="BW18" s="1624" t="s">
        <v>1489</v>
      </c>
      <c r="BX18" s="1618" t="s">
        <v>1490</v>
      </c>
      <c r="BZ18" s="1359" t="s">
        <v>1491</v>
      </c>
      <c r="CA18" s="1086" t="s">
        <v>1492</v>
      </c>
      <c r="CC18" s="1359" t="s">
        <v>1493</v>
      </c>
      <c r="CD18" s="1086" t="s">
        <v>1494</v>
      </c>
    </row>
    <row r="19" spans="1:82" ht="21" customHeight="1">
      <c r="A19" s="1796" t="s">
        <v>1495</v>
      </c>
      <c r="B19" s="1005">
        <v>2017</v>
      </c>
      <c r="E19" s="1004" t="s">
        <v>169</v>
      </c>
      <c r="I19" s="1006" t="s">
        <v>1496</v>
      </c>
      <c r="N19" s="1085" t="s">
        <v>1497</v>
      </c>
      <c r="X19" s="1017"/>
      <c r="AW19" s="1047" t="s">
        <v>1482</v>
      </c>
      <c r="AX19" s="1047" t="s">
        <v>1482</v>
      </c>
      <c r="AZ19" s="997" t="s">
        <v>1498</v>
      </c>
      <c r="BB19" s="1047" t="s">
        <v>1499</v>
      </c>
      <c r="BC19" s="1047" t="s">
        <v>1325</v>
      </c>
      <c r="BE19" s="1047">
        <v>2017</v>
      </c>
      <c r="BH19" s="998" t="s">
        <v>1500</v>
      </c>
      <c r="BJ19" s="1144" t="s">
        <v>1501</v>
      </c>
      <c r="BL19" s="1144" t="s">
        <v>1501</v>
      </c>
      <c r="BQ19" s="1208">
        <v>4190064</v>
      </c>
      <c r="BR19" s="998" t="s">
        <v>1502</v>
      </c>
      <c r="BS19" s="1356"/>
      <c r="BT19" s="1208">
        <v>4189671</v>
      </c>
      <c r="BU19" s="998" t="s">
        <v>1503</v>
      </c>
      <c r="BV19" s="1000"/>
      <c r="BW19" s="1622">
        <v>4189706</v>
      </c>
      <c r="BX19" s="1620" t="s">
        <v>1504</v>
      </c>
      <c r="BZ19" s="1208">
        <v>4189714</v>
      </c>
      <c r="CA19" s="998" t="s">
        <v>1505</v>
      </c>
      <c r="CC19" s="1208">
        <v>4189708</v>
      </c>
      <c r="CD19" s="998" t="s">
        <v>1506</v>
      </c>
    </row>
    <row r="20" spans="1:82" ht="21" customHeight="1">
      <c r="A20" s="1004" t="s">
        <v>1507</v>
      </c>
      <c r="B20" s="1005">
        <v>2018</v>
      </c>
      <c r="E20" s="1004" t="s">
        <v>1257</v>
      </c>
      <c r="I20" s="1006" t="s">
        <v>1508</v>
      </c>
      <c r="N20" s="1085" t="s">
        <v>1509</v>
      </c>
      <c r="AW20" s="1047" t="s">
        <v>1496</v>
      </c>
      <c r="AX20" s="1047" t="s">
        <v>1496</v>
      </c>
      <c r="AZ20" s="1047" t="s">
        <v>1510</v>
      </c>
      <c r="BB20" s="1047" t="s">
        <v>1511</v>
      </c>
      <c r="BC20" s="1047" t="s">
        <v>1441</v>
      </c>
      <c r="BE20" s="1047">
        <v>2018</v>
      </c>
      <c r="BH20" s="998" t="s">
        <v>1437</v>
      </c>
      <c r="BJ20" s="998" t="s">
        <v>1365</v>
      </c>
      <c r="BL20" s="998" t="s">
        <v>1365</v>
      </c>
      <c r="BQ20" s="1208">
        <v>4190065</v>
      </c>
      <c r="BR20" s="998" t="s">
        <v>1512</v>
      </c>
      <c r="BS20" s="1356"/>
      <c r="BT20" s="1208">
        <v>4189672</v>
      </c>
      <c r="BU20" s="998" t="s">
        <v>1513</v>
      </c>
      <c r="BV20" s="1000"/>
      <c r="BW20" s="1622">
        <v>4189705</v>
      </c>
      <c r="BX20" s="1620" t="s">
        <v>1514</v>
      </c>
      <c r="BZ20" s="1208">
        <v>4189713</v>
      </c>
      <c r="CA20" s="998" t="s">
        <v>1514</v>
      </c>
      <c r="CC20" s="1208">
        <v>4189709</v>
      </c>
      <c r="CD20" s="998" t="s">
        <v>1515</v>
      </c>
    </row>
    <row r="21" spans="1:82" ht="21" customHeight="1">
      <c r="A21" s="1004" t="s">
        <v>1516</v>
      </c>
      <c r="B21" s="1005">
        <v>2019</v>
      </c>
      <c r="I21" s="1006" t="s">
        <v>1517</v>
      </c>
      <c r="N21" s="1085" t="s">
        <v>1518</v>
      </c>
      <c r="AW21" s="1047" t="s">
        <v>1508</v>
      </c>
      <c r="AX21" s="1047" t="s">
        <v>1508</v>
      </c>
      <c r="AZ21" s="1047" t="s">
        <v>1519</v>
      </c>
      <c r="BB21" s="1047" t="s">
        <v>1520</v>
      </c>
      <c r="BC21" s="1047" t="s">
        <v>1325</v>
      </c>
      <c r="BE21" s="1047">
        <v>2019</v>
      </c>
      <c r="BH21" s="998" t="s">
        <v>1444</v>
      </c>
      <c r="BJ21" s="998" t="s">
        <v>1381</v>
      </c>
      <c r="BL21" s="998" t="s">
        <v>1381</v>
      </c>
      <c r="BQ21" s="1208">
        <v>4190066</v>
      </c>
      <c r="BR21" s="998" t="s">
        <v>1521</v>
      </c>
      <c r="BS21" s="1356"/>
      <c r="BT21" s="1208">
        <v>4189673</v>
      </c>
      <c r="BU21" s="998" t="s">
        <v>1522</v>
      </c>
      <c r="BV21" s="1000"/>
      <c r="BW21" s="1622">
        <v>4189707</v>
      </c>
      <c r="BX21" s="1620" t="s">
        <v>1523</v>
      </c>
      <c r="BZ21" s="1208">
        <v>4189712</v>
      </c>
      <c r="CA21" s="998" t="s">
        <v>1524</v>
      </c>
      <c r="CC21" s="1208">
        <v>4189710</v>
      </c>
      <c r="CD21" s="998" t="s">
        <v>1525</v>
      </c>
    </row>
    <row r="22" spans="1:82" ht="21" customHeight="1">
      <c r="A22" s="1004" t="s">
        <v>1526</v>
      </c>
      <c r="B22" s="1005">
        <v>2020</v>
      </c>
      <c r="N22" s="1085" t="s">
        <v>1527</v>
      </c>
      <c r="AW22" s="1047" t="s">
        <v>1517</v>
      </c>
      <c r="AX22" s="1047" t="s">
        <v>1517</v>
      </c>
      <c r="AZ22" s="1047" t="s">
        <v>1528</v>
      </c>
      <c r="BB22" s="1047" t="s">
        <v>1529</v>
      </c>
      <c r="BC22" s="1047" t="s">
        <v>1325</v>
      </c>
      <c r="BE22" s="1047">
        <v>2020</v>
      </c>
      <c r="BH22" s="998" t="s">
        <v>1451</v>
      </c>
      <c r="BJ22" s="998" t="s">
        <v>1396</v>
      </c>
      <c r="BL22" s="998" t="s">
        <v>1396</v>
      </c>
      <c r="BQ22" s="1208">
        <v>4190067</v>
      </c>
      <c r="BR22" s="998" t="s">
        <v>1530</v>
      </c>
      <c r="BS22" s="1356"/>
      <c r="BT22" s="1208">
        <v>4189674</v>
      </c>
      <c r="BU22" s="998" t="s">
        <v>1531</v>
      </c>
      <c r="BV22" s="1000"/>
      <c r="BW22" s="1000"/>
      <c r="CC22" s="1208">
        <v>4189711</v>
      </c>
      <c r="CD22" s="998" t="s">
        <v>295</v>
      </c>
    </row>
    <row r="23" spans="1:82" ht="21" customHeight="1">
      <c r="A23" s="1004" t="s">
        <v>1532</v>
      </c>
      <c r="B23" s="1005">
        <v>2021</v>
      </c>
      <c r="AW23" s="1047" t="s">
        <v>1533</v>
      </c>
      <c r="AX23" s="1047" t="s">
        <v>1533</v>
      </c>
      <c r="AZ23" s="1047" t="s">
        <v>1534</v>
      </c>
      <c r="BB23" s="1047" t="s">
        <v>1535</v>
      </c>
      <c r="BC23" s="1047" t="s">
        <v>1234</v>
      </c>
      <c r="BE23" s="1047">
        <v>2021</v>
      </c>
      <c r="BH23" s="998" t="s">
        <v>1459</v>
      </c>
      <c r="BJ23" s="998" t="s">
        <v>1412</v>
      </c>
      <c r="BL23" s="998" t="s">
        <v>1412</v>
      </c>
      <c r="BQ23" s="1208">
        <v>4190068</v>
      </c>
      <c r="BR23" s="998" t="s">
        <v>1536</v>
      </c>
      <c r="BS23" s="1356"/>
      <c r="BT23" s="1208">
        <v>4189675</v>
      </c>
      <c r="BU23" s="998" t="s">
        <v>1537</v>
      </c>
      <c r="BV23" s="1000"/>
      <c r="BW23" s="1000"/>
      <c r="CC23" s="1208">
        <v>5110778</v>
      </c>
      <c r="CD23" s="998" t="s">
        <v>1538</v>
      </c>
    </row>
    <row r="24" spans="1:82" ht="21" customHeight="1">
      <c r="A24" s="1004" t="s">
        <v>1539</v>
      </c>
      <c r="B24" s="1005">
        <v>2022</v>
      </c>
      <c r="AW24" s="1047" t="s">
        <v>1540</v>
      </c>
      <c r="AX24" s="1047" t="s">
        <v>1540</v>
      </c>
      <c r="AZ24" s="1047" t="s">
        <v>1541</v>
      </c>
      <c r="BB24" s="1047" t="s">
        <v>1542</v>
      </c>
      <c r="BC24" s="1047" t="s">
        <v>1543</v>
      </c>
      <c r="BE24" s="1047">
        <v>2022</v>
      </c>
      <c r="BH24" s="998" t="s">
        <v>1468</v>
      </c>
      <c r="BJ24" s="998" t="s">
        <v>1426</v>
      </c>
      <c r="BL24" s="998" t="s">
        <v>1426</v>
      </c>
      <c r="BQ24" s="1208">
        <v>4190069</v>
      </c>
      <c r="BR24" s="998" t="s">
        <v>1544</v>
      </c>
      <c r="BS24" s="1356"/>
      <c r="BT24" s="1208">
        <v>4189676</v>
      </c>
      <c r="BU24" s="998" t="s">
        <v>1545</v>
      </c>
      <c r="BV24" s="1000"/>
      <c r="BW24" s="1000"/>
      <c r="CC24" s="1208">
        <v>25575374</v>
      </c>
      <c r="CD24" s="998" t="s">
        <v>1546</v>
      </c>
    </row>
    <row r="25" spans="1:82" ht="11.25" customHeight="1">
      <c r="A25" s="1004" t="s">
        <v>1547</v>
      </c>
      <c r="B25" s="1005">
        <v>2023</v>
      </c>
      <c r="AW25" s="1047" t="s">
        <v>1548</v>
      </c>
      <c r="AX25" s="1047" t="s">
        <v>1548</v>
      </c>
      <c r="AZ25" s="1047" t="s">
        <v>1549</v>
      </c>
      <c r="BB25" s="1047" t="s">
        <v>1550</v>
      </c>
      <c r="BC25" s="1047" t="s">
        <v>1543</v>
      </c>
      <c r="BE25" s="1047">
        <v>2023</v>
      </c>
      <c r="BH25" s="998" t="s">
        <v>1475</v>
      </c>
      <c r="BJ25" s="998" t="s">
        <v>1500</v>
      </c>
      <c r="BL25" s="998" t="s">
        <v>1500</v>
      </c>
      <c r="BQ25" s="1208">
        <v>4190070</v>
      </c>
      <c r="BR25" s="998" t="s">
        <v>1551</v>
      </c>
      <c r="BS25" s="1356"/>
      <c r="BT25" s="1208">
        <v>4189677</v>
      </c>
      <c r="BU25" s="998" t="s">
        <v>1552</v>
      </c>
      <c r="BV25" s="1000"/>
      <c r="BW25" s="1000"/>
    </row>
    <row r="26" spans="1:82" ht="11.25" customHeight="1">
      <c r="A26" s="1004" t="s">
        <v>1553</v>
      </c>
      <c r="B26" s="1005">
        <v>2024</v>
      </c>
      <c r="J26" s="1658" t="s">
        <v>1554</v>
      </c>
      <c r="AX26" s="1047" t="s">
        <v>1555</v>
      </c>
      <c r="AZ26" s="1047" t="s">
        <v>1419</v>
      </c>
      <c r="BB26" s="1047" t="s">
        <v>1556</v>
      </c>
      <c r="BC26" s="1047" t="s">
        <v>1543</v>
      </c>
      <c r="BE26" s="1047">
        <v>2024</v>
      </c>
      <c r="BH26" s="998" t="s">
        <v>1486</v>
      </c>
      <c r="BJ26" s="998" t="s">
        <v>1437</v>
      </c>
      <c r="BL26" s="998" t="s">
        <v>1437</v>
      </c>
      <c r="BQ26" s="1208">
        <v>4190071</v>
      </c>
      <c r="BR26" s="998" t="s">
        <v>1557</v>
      </c>
      <c r="BS26" s="1356"/>
      <c r="BV26" s="1000"/>
      <c r="BW26" s="1000"/>
    </row>
    <row r="27" spans="1:82" ht="11.25" customHeight="1">
      <c r="A27" s="1004" t="s">
        <v>1558</v>
      </c>
      <c r="B27" s="1005">
        <v>2025</v>
      </c>
      <c r="J27" s="113" t="s">
        <v>120</v>
      </c>
      <c r="AX27" s="1047" t="s">
        <v>1559</v>
      </c>
      <c r="BB27" s="1047" t="s">
        <v>1560</v>
      </c>
      <c r="BC27" s="1047" t="s">
        <v>1543</v>
      </c>
      <c r="BE27" s="1047">
        <v>2025</v>
      </c>
      <c r="BH27" s="1000" t="s">
        <v>22</v>
      </c>
      <c r="BJ27" s="998" t="s">
        <v>1444</v>
      </c>
      <c r="BL27" s="998" t="s">
        <v>1444</v>
      </c>
      <c r="BN27" s="1000" t="s">
        <v>22</v>
      </c>
      <c r="BQ27" s="1208">
        <v>4190072</v>
      </c>
      <c r="BR27" s="998" t="s">
        <v>1561</v>
      </c>
      <c r="BS27" s="1356"/>
      <c r="BV27" s="1000"/>
      <c r="BW27" s="1000"/>
    </row>
    <row r="28" spans="1:82" ht="11.25" customHeight="1">
      <c r="A28" s="1004" t="s">
        <v>1562</v>
      </c>
      <c r="D28" s="1029"/>
      <c r="E28" s="1030"/>
      <c r="F28" s="1030"/>
      <c r="H28" s="1031" t="s">
        <v>1563</v>
      </c>
      <c r="AX28" s="1047" t="s">
        <v>1564</v>
      </c>
      <c r="AZ28" s="997" t="s">
        <v>1565</v>
      </c>
      <c r="BB28" s="1047" t="s">
        <v>1566</v>
      </c>
      <c r="BC28" s="1047" t="s">
        <v>1567</v>
      </c>
      <c r="BE28" s="1047">
        <v>2026</v>
      </c>
      <c r="BH28" s="1000" t="s">
        <v>22</v>
      </c>
      <c r="BJ28" s="998" t="s">
        <v>1451</v>
      </c>
      <c r="BL28" s="998" t="s">
        <v>1451</v>
      </c>
      <c r="BN28" s="1000" t="s">
        <v>22</v>
      </c>
      <c r="BQ28" s="1208">
        <v>4190073</v>
      </c>
      <c r="BR28" s="998" t="s">
        <v>1568</v>
      </c>
      <c r="BS28" s="1356"/>
      <c r="BV28" s="1000"/>
      <c r="BW28" s="1000"/>
    </row>
    <row r="29" spans="1:82" ht="11.25" customHeight="1">
      <c r="A29" s="1004" t="s">
        <v>1569</v>
      </c>
      <c r="D29" s="1032" t="s">
        <v>1570</v>
      </c>
      <c r="E29" s="1033" t="str">
        <f>IF(TEMPLATE_GROUP="","",INDEX(StartDateList,MATCH(TEMPLATE_GROUP,CodeTemplateList,0),1))</f>
        <v>01.07.2024</v>
      </c>
      <c r="F29" s="1033" t="str">
        <f>IF(TEMPLATE_GROUP="","",INDEX(EndDateList,MATCH(TEMPLATE_GROUP,CodeTemplateList,0),1))</f>
        <v>30.09.2024</v>
      </c>
      <c r="H29" s="1034" t="s">
        <v>1571</v>
      </c>
      <c r="AX29" s="1047" t="s">
        <v>1572</v>
      </c>
      <c r="AZ29" s="1047" t="s">
        <v>1218</v>
      </c>
      <c r="BB29" s="1047" t="s">
        <v>1419</v>
      </c>
      <c r="BC29" s="1020"/>
      <c r="BE29" s="1047">
        <v>2027</v>
      </c>
      <c r="BJ29" s="998" t="s">
        <v>1459</v>
      </c>
      <c r="BL29" s="998" t="s">
        <v>1459</v>
      </c>
    </row>
    <row r="30" spans="1:82" ht="11.25" customHeight="1">
      <c r="A30" s="1004" t="s">
        <v>1573</v>
      </c>
      <c r="D30" s="1035"/>
      <c r="E30" s="1036"/>
      <c r="F30" s="1036"/>
      <c r="AX30" s="1047" t="s">
        <v>1574</v>
      </c>
      <c r="AZ30" s="1047" t="s">
        <v>1246</v>
      </c>
      <c r="BE30" s="1047">
        <v>2028</v>
      </c>
      <c r="BJ30" s="998" t="s">
        <v>1575</v>
      </c>
      <c r="BL30" s="998" t="s">
        <v>1575</v>
      </c>
    </row>
    <row r="31" spans="1:82" ht="12.75" customHeight="1">
      <c r="A31" s="1004" t="s">
        <v>1576</v>
      </c>
      <c r="D31" s="1029"/>
      <c r="E31" s="1030"/>
      <c r="F31" s="1030"/>
      <c r="H31" s="1037"/>
      <c r="AX31" s="1047" t="s">
        <v>1577</v>
      </c>
      <c r="AZ31" s="1047" t="s">
        <v>1578</v>
      </c>
      <c r="BE31" s="1047">
        <v>2029</v>
      </c>
      <c r="BJ31" s="998" t="s">
        <v>1579</v>
      </c>
      <c r="BL31" s="998" t="s">
        <v>1579</v>
      </c>
    </row>
    <row r="32" spans="1:82" ht="11.25" customHeight="1">
      <c r="A32" s="1004" t="s">
        <v>1580</v>
      </c>
      <c r="D32" s="1032" t="s">
        <v>1581</v>
      </c>
      <c r="E32" s="1033" t="str">
        <f>IF(TEMPLATE_GROUP="","",INDEX(StartDateList,MATCH(TEMPLATE_GROUP,CodeTemplateList,0),1))</f>
        <v>01.07.2024</v>
      </c>
      <c r="F32" s="1033" t="str">
        <f>IF(TEMPLATE_GROUP="","",INDEX(EndDateList,MATCH(TEMPLATE_GROUP,CodeTemplateList,0),1))</f>
        <v>30.09.2024</v>
      </c>
      <c r="H32" s="1038" t="s">
        <v>1582</v>
      </c>
      <c r="O32" s="1004" t="s">
        <v>1216</v>
      </c>
      <c r="AX32" s="1047" t="s">
        <v>1583</v>
      </c>
      <c r="AZ32" s="1047" t="s">
        <v>1313</v>
      </c>
      <c r="BE32" s="1047">
        <v>2030</v>
      </c>
      <c r="BJ32" s="998" t="s">
        <v>1468</v>
      </c>
      <c r="BL32" s="998" t="s">
        <v>1468</v>
      </c>
    </row>
    <row r="33" spans="1:66" ht="11.25" customHeight="1">
      <c r="A33" s="1004" t="s">
        <v>1584</v>
      </c>
      <c r="O33" s="1004" t="s">
        <v>1243</v>
      </c>
      <c r="AX33" s="1047" t="s">
        <v>1585</v>
      </c>
      <c r="AZ33" s="1047" t="s">
        <v>1217</v>
      </c>
      <c r="BE33" s="1047">
        <v>2031</v>
      </c>
      <c r="BJ33" s="998" t="s">
        <v>1475</v>
      </c>
      <c r="BL33" s="998" t="s">
        <v>1475</v>
      </c>
    </row>
    <row r="34" spans="1:66" ht="11.25" customHeight="1">
      <c r="A34" s="1004" t="s">
        <v>1586</v>
      </c>
      <c r="O34" s="1004" t="s">
        <v>1278</v>
      </c>
      <c r="AX34" s="1047" t="s">
        <v>1587</v>
      </c>
      <c r="BE34" s="1047">
        <v>2032</v>
      </c>
      <c r="BJ34" s="998" t="s">
        <v>1486</v>
      </c>
      <c r="BL34" s="998" t="s">
        <v>1486</v>
      </c>
    </row>
    <row r="35" spans="1:66" ht="11.25" customHeight="1">
      <c r="A35" s="1004" t="s">
        <v>1588</v>
      </c>
      <c r="O35" s="1004" t="s">
        <v>1311</v>
      </c>
      <c r="AX35" s="1047" t="s">
        <v>1589</v>
      </c>
      <c r="AZ35" s="997" t="s">
        <v>1590</v>
      </c>
      <c r="BE35" s="1047">
        <v>2033</v>
      </c>
      <c r="BL35" s="998" t="s">
        <v>1591</v>
      </c>
    </row>
    <row r="36" spans="1:66" ht="11.25" customHeight="1">
      <c r="A36" s="1796" t="s">
        <v>1592</v>
      </c>
      <c r="D36" s="1039" t="s">
        <v>1593</v>
      </c>
      <c r="E36" s="1040" t="s">
        <v>856</v>
      </c>
      <c r="F36" s="1041" t="str">
        <f>INDEX(E37:E41,MATCH(TEMPLATE_SPHERE,F37:F41,0))</f>
        <v>холодного водоснабжения</v>
      </c>
      <c r="G36" s="1041" t="str">
        <f>INDEX(G37:G41,MATCH(TEMPLATE_SPHERE,F37:F41,0))</f>
        <v>холодное водоснабжение</v>
      </c>
      <c r="O36" s="1004" t="s">
        <v>1336</v>
      </c>
      <c r="AX36" s="1047" t="s">
        <v>1594</v>
      </c>
      <c r="AZ36" s="1047" t="s">
        <v>1217</v>
      </c>
      <c r="BE36" s="1047">
        <v>2034</v>
      </c>
      <c r="BL36" s="998" t="s">
        <v>1595</v>
      </c>
    </row>
    <row r="37" spans="1:66" ht="11.25" customHeight="1">
      <c r="A37" s="1004" t="s">
        <v>1596</v>
      </c>
      <c r="E37" s="344" t="s">
        <v>1597</v>
      </c>
      <c r="F37" s="1042" t="s">
        <v>810</v>
      </c>
      <c r="G37" s="344" t="s">
        <v>1598</v>
      </c>
      <c r="O37" s="1004" t="s">
        <v>1355</v>
      </c>
      <c r="AX37" s="1047" t="s">
        <v>1599</v>
      </c>
      <c r="AZ37" s="1047" t="s">
        <v>1245</v>
      </c>
      <c r="BE37" s="1047">
        <v>2035</v>
      </c>
    </row>
    <row r="38" spans="1:66" ht="11.25" customHeight="1">
      <c r="A38" s="1004" t="s">
        <v>1600</v>
      </c>
      <c r="E38" s="344" t="s">
        <v>1601</v>
      </c>
      <c r="F38" s="1043" t="s">
        <v>856</v>
      </c>
      <c r="G38" s="344" t="s">
        <v>1602</v>
      </c>
      <c r="O38" s="1004" t="s">
        <v>1372</v>
      </c>
      <c r="AX38" s="1047" t="s">
        <v>1603</v>
      </c>
      <c r="AZ38" s="1047" t="s">
        <v>1279</v>
      </c>
      <c r="BE38" s="1047">
        <v>2036</v>
      </c>
      <c r="BH38" s="997" t="s">
        <v>1604</v>
      </c>
      <c r="BJ38" s="997" t="s">
        <v>1605</v>
      </c>
      <c r="BL38" s="997" t="s">
        <v>1606</v>
      </c>
      <c r="BN38" s="997" t="s">
        <v>1607</v>
      </c>
    </row>
    <row r="39" spans="1:66" ht="11.25" customHeight="1">
      <c r="A39" s="1004" t="s">
        <v>1608</v>
      </c>
      <c r="E39" s="344" t="s">
        <v>1609</v>
      </c>
      <c r="F39" s="1043" t="s">
        <v>909</v>
      </c>
      <c r="G39" s="344" t="s">
        <v>1610</v>
      </c>
      <c r="O39" s="1004" t="s">
        <v>1387</v>
      </c>
      <c r="AX39" s="1047" t="s">
        <v>1611</v>
      </c>
      <c r="AZ39" s="1047" t="s">
        <v>1312</v>
      </c>
      <c r="BE39" s="1047">
        <v>2037</v>
      </c>
      <c r="BH39" s="998" t="s">
        <v>1612</v>
      </c>
      <c r="BJ39" s="1144" t="s">
        <v>1612</v>
      </c>
      <c r="BL39" s="1144" t="s">
        <v>1612</v>
      </c>
      <c r="BN39" s="998" t="s">
        <v>1613</v>
      </c>
    </row>
    <row r="40" spans="1:66" ht="11.25" customHeight="1">
      <c r="A40" s="1004" t="s">
        <v>1614</v>
      </c>
      <c r="E40" s="344" t="s">
        <v>1615</v>
      </c>
      <c r="F40" s="1043" t="s">
        <v>896</v>
      </c>
      <c r="G40" s="344" t="s">
        <v>1616</v>
      </c>
      <c r="O40" s="1004" t="s">
        <v>1403</v>
      </c>
      <c r="AX40" s="1047" t="s">
        <v>1617</v>
      </c>
      <c r="BE40" s="1047">
        <v>2038</v>
      </c>
      <c r="BH40" s="998" t="s">
        <v>1618</v>
      </c>
      <c r="BJ40" s="1144" t="s">
        <v>1029</v>
      </c>
      <c r="BL40" s="1144" t="s">
        <v>1029</v>
      </c>
      <c r="BN40" s="998" t="s">
        <v>1063</v>
      </c>
    </row>
    <row r="41" spans="1:66" ht="11.25" customHeight="1">
      <c r="A41" s="1004" t="s">
        <v>1619</v>
      </c>
      <c r="E41" s="344" t="s">
        <v>1620</v>
      </c>
      <c r="F41" s="1043" t="s">
        <v>1621</v>
      </c>
      <c r="G41" s="344" t="s">
        <v>1620</v>
      </c>
      <c r="O41" s="1004" t="s">
        <v>1419</v>
      </c>
      <c r="AX41" s="1047" t="s">
        <v>1622</v>
      </c>
      <c r="AZ41" s="997" t="s">
        <v>1623</v>
      </c>
      <c r="BE41" s="1047">
        <v>2039</v>
      </c>
      <c r="BH41" s="998" t="s">
        <v>1624</v>
      </c>
      <c r="BJ41" s="1144" t="s">
        <v>1025</v>
      </c>
      <c r="BL41" s="1144" t="s">
        <v>1025</v>
      </c>
      <c r="BN41" s="998" t="s">
        <v>1050</v>
      </c>
    </row>
    <row r="42" spans="1:66" ht="11.25" customHeight="1">
      <c r="A42" s="1004" t="s">
        <v>1625</v>
      </c>
      <c r="AX42" s="1047" t="s">
        <v>1626</v>
      </c>
      <c r="AZ42" s="1047" t="s">
        <v>1216</v>
      </c>
      <c r="BE42" s="1047">
        <v>2040</v>
      </c>
      <c r="BH42" s="998" t="s">
        <v>1047</v>
      </c>
      <c r="BJ42" s="1144" t="s">
        <v>1027</v>
      </c>
      <c r="BL42" s="1144" t="s">
        <v>1027</v>
      </c>
      <c r="BN42" s="998" t="s">
        <v>1627</v>
      </c>
    </row>
    <row r="43" spans="1:66" ht="11.25" customHeight="1">
      <c r="A43" s="1004" t="s">
        <v>1628</v>
      </c>
      <c r="AX43" s="1047" t="s">
        <v>1629</v>
      </c>
      <c r="AZ43" s="1047" t="s">
        <v>1243</v>
      </c>
      <c r="BE43" s="1047">
        <v>2041</v>
      </c>
      <c r="BH43" s="998" t="s">
        <v>1630</v>
      </c>
      <c r="BJ43" s="1144" t="s">
        <v>1624</v>
      </c>
      <c r="BL43" s="1144" t="s">
        <v>1624</v>
      </c>
      <c r="BN43" s="998" t="s">
        <v>1631</v>
      </c>
    </row>
    <row r="44" spans="1:66" ht="11.25" customHeight="1">
      <c r="A44" s="1004" t="s">
        <v>1632</v>
      </c>
      <c r="G44" s="1023">
        <f ca="1">YEAR(TODAY())</f>
        <v>2024</v>
      </c>
      <c r="I44" s="730" t="s">
        <v>1633</v>
      </c>
      <c r="J44" s="1019" t="s">
        <v>1634</v>
      </c>
      <c r="K44" s="1019" t="s">
        <v>1635</v>
      </c>
      <c r="AX44" s="1047" t="s">
        <v>1636</v>
      </c>
      <c r="AZ44" s="1047" t="s">
        <v>1278</v>
      </c>
      <c r="BE44" s="1047">
        <v>2042</v>
      </c>
      <c r="BH44" s="998" t="s">
        <v>1637</v>
      </c>
      <c r="BJ44" s="1144" t="s">
        <v>1047</v>
      </c>
      <c r="BL44" s="1144" t="s">
        <v>1047</v>
      </c>
      <c r="BN44" s="998" t="s">
        <v>1638</v>
      </c>
    </row>
    <row r="45" spans="1:66" ht="11.25" customHeight="1">
      <c r="A45" s="1004" t="s">
        <v>1639</v>
      </c>
      <c r="D45" s="1039" t="s">
        <v>1640</v>
      </c>
      <c r="E45" s="1040" t="s">
        <v>1641</v>
      </c>
      <c r="F45" s="728" t="s">
        <v>1642</v>
      </c>
      <c r="G45" s="727" t="s">
        <v>1643</v>
      </c>
      <c r="H45" s="730" t="s">
        <v>1644</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1645</v>
      </c>
      <c r="AZ45" s="1047" t="s">
        <v>1311</v>
      </c>
      <c r="BE45" s="1047">
        <v>2043</v>
      </c>
      <c r="BH45" s="998" t="s">
        <v>1646</v>
      </c>
      <c r="BJ45" s="1144" t="s">
        <v>1041</v>
      </c>
      <c r="BL45" s="1144" t="s">
        <v>1041</v>
      </c>
      <c r="BN45" s="998" t="s">
        <v>1647</v>
      </c>
    </row>
    <row r="46" spans="1:66" ht="11.25" customHeight="1">
      <c r="A46" s="1004" t="s">
        <v>1648</v>
      </c>
      <c r="E46" s="344" t="s">
        <v>27</v>
      </c>
      <c r="F46" s="1042" t="s">
        <v>1649</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1650</v>
      </c>
      <c r="AZ46" s="1047" t="s">
        <v>1336</v>
      </c>
      <c r="BE46" s="1047">
        <v>2044</v>
      </c>
      <c r="BH46" s="998" t="s">
        <v>1050</v>
      </c>
      <c r="BJ46" s="1144" t="s">
        <v>1031</v>
      </c>
      <c r="BL46" s="1144" t="s">
        <v>1031</v>
      </c>
      <c r="BN46" s="998" t="s">
        <v>1651</v>
      </c>
    </row>
    <row r="47" spans="1:66" ht="11.25" customHeight="1">
      <c r="A47" s="1004" t="s">
        <v>1652</v>
      </c>
      <c r="E47" s="344" t="s">
        <v>33</v>
      </c>
      <c r="F47" s="1043" t="s">
        <v>1641</v>
      </c>
      <c r="G47" s="1044" t="str">
        <f>IFERROR(IF(f_year="","01.01."&amp;CURRENT_YEAR,IF(LEN(f_quart)=0,"01.01."&amp;f_year,IF(f_quart="I квартал","01.01."&amp;f_year,IF(f_quart="II квартал","01.04."&amp;f_year,(IF(f_quart="III квартал","01.07."&amp;f_year,"01.10."&amp;f_year)))))),"01.01."&amp;CURRENT_YEAR)</f>
        <v>01.07.2024</v>
      </c>
      <c r="H47" s="1044" t="str">
        <f>IFERROR(IF(f_year="","31.12."&amp;CURRENT_YEAR,IF(LEN(f_quart)=0,"31.12."&amp;f_year,IF(f_quart="I квартал","31.03."&amp;f_year,IF(f_quart="II квартал","30.06."&amp;f_year,(IF(f_quart="III квартал","30.09."&amp;f_year,"31.12."&amp;f_year)))))),"31.12."&amp;CURRENT_YEAR)</f>
        <v>30.09.2024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1653</v>
      </c>
      <c r="AZ47" s="1047" t="s">
        <v>1355</v>
      </c>
      <c r="BE47" s="1047">
        <v>2045</v>
      </c>
      <c r="BH47" s="998" t="s">
        <v>1627</v>
      </c>
      <c r="BJ47" s="1144" t="s">
        <v>1033</v>
      </c>
      <c r="BL47" s="1144" t="s">
        <v>1033</v>
      </c>
      <c r="BN47" s="998" t="s">
        <v>1654</v>
      </c>
    </row>
    <row r="48" spans="1:66" ht="11.25" customHeight="1">
      <c r="A48" s="1004" t="s">
        <v>1655</v>
      </c>
      <c r="E48" s="344" t="s">
        <v>1656</v>
      </c>
      <c r="F48" s="1043" t="s">
        <v>1657</v>
      </c>
      <c r="G48" s="1044" t="str">
        <f>IFERROR(IF(f_year="","01.01."&amp;CURRENT_YEAR,"01.01."&amp;f_year),"01.01."&amp;CURRENT_YEAR)</f>
        <v>01.01.2024</v>
      </c>
      <c r="H48" s="1044" t="str">
        <f>IFERROR(IF(f_year="","31.12."&amp;CURRENT_YEAR,"31.12."&amp;f_year),"31.12."&amp;CURRENT_YEAR)</f>
        <v>31.12.2024</v>
      </c>
      <c r="I48" s="1669" t="b">
        <f>IF(f_year="",TRUE,FALSE)</f>
        <v>0</v>
      </c>
      <c r="J48" s="1672" t="s">
        <v>1658</v>
      </c>
      <c r="K48" s="1673"/>
      <c r="AX48" s="1047" t="s">
        <v>1659</v>
      </c>
      <c r="AZ48" s="1047" t="s">
        <v>1372</v>
      </c>
      <c r="BE48" s="1047">
        <v>2046</v>
      </c>
      <c r="BH48" s="998" t="s">
        <v>1631</v>
      </c>
      <c r="BJ48" s="1144" t="s">
        <v>1035</v>
      </c>
      <c r="BL48" s="1144" t="s">
        <v>1035</v>
      </c>
      <c r="BN48" s="998" t="s">
        <v>1660</v>
      </c>
    </row>
    <row r="49" spans="1:64" ht="11.25" customHeight="1">
      <c r="A49" s="1004" t="s">
        <v>1661</v>
      </c>
      <c r="E49" s="344" t="s">
        <v>1662</v>
      </c>
      <c r="F49" s="1043" t="s">
        <v>1663</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1664</v>
      </c>
      <c r="AZ49" s="1047" t="s">
        <v>1387</v>
      </c>
      <c r="BE49" s="1047">
        <v>2047</v>
      </c>
      <c r="BH49" s="998" t="s">
        <v>1051</v>
      </c>
      <c r="BJ49" s="1144" t="s">
        <v>1037</v>
      </c>
      <c r="BL49" s="1144" t="s">
        <v>1037</v>
      </c>
    </row>
    <row r="50" spans="1:64" ht="11.25" customHeight="1">
      <c r="A50" s="1004" t="s">
        <v>1665</v>
      </c>
      <c r="E50" s="344" t="s">
        <v>1666</v>
      </c>
      <c r="F50" s="1043" t="s">
        <v>1021</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1667</v>
      </c>
      <c r="AZ50" s="1047" t="s">
        <v>1403</v>
      </c>
      <c r="BE50" s="1047">
        <v>2048</v>
      </c>
      <c r="BH50" s="998" t="s">
        <v>1638</v>
      </c>
      <c r="BJ50" s="1144" t="s">
        <v>1039</v>
      </c>
      <c r="BL50" s="1144" t="s">
        <v>1039</v>
      </c>
    </row>
    <row r="51" spans="1:64" ht="11.25" customHeight="1">
      <c r="A51" s="1004" t="s">
        <v>1668</v>
      </c>
      <c r="E51" s="344" t="s">
        <v>1669</v>
      </c>
      <c r="F51" s="1043" t="s">
        <v>1670</v>
      </c>
      <c r="G51" s="1044" t="str">
        <f ca="1">IFERROR(IF(TITLE_PERIOD_START="","01.01."&amp;CURRENT_YEAR,"01.01."&amp;YEAR(TITLE_PERIOD_START)),"01.01."&amp;CURRENT_YEAR)</f>
        <v>01.01.2024</v>
      </c>
      <c r="H51" s="1044"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1671</v>
      </c>
      <c r="AZ51" s="1047" t="s">
        <v>1419</v>
      </c>
      <c r="BE51" s="1047">
        <v>2049</v>
      </c>
      <c r="BH51" s="998" t="s">
        <v>1647</v>
      </c>
      <c r="BJ51" s="1144" t="s">
        <v>1672</v>
      </c>
      <c r="BL51" s="1144" t="s">
        <v>1672</v>
      </c>
    </row>
    <row r="52" spans="1:64" ht="11.25" customHeight="1">
      <c r="A52" s="1004" t="s">
        <v>1673</v>
      </c>
      <c r="E52" s="344" t="s">
        <v>1674</v>
      </c>
      <c r="F52" s="1043" t="s">
        <v>1675</v>
      </c>
      <c r="G52" s="1044" t="str">
        <f ca="1">IFERROR(IF(TITLE_PERIOD_START="","01.01."&amp;CURRENT_YEAR,"01.01."&amp;YEAR(TITLE_PERIOD_START)),"01.01."&amp;CURRENT_YEAR)</f>
        <v>01.01.2024</v>
      </c>
      <c r="H52" s="1044"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1676</v>
      </c>
      <c r="AZ52" s="1047" t="s">
        <v>1217</v>
      </c>
      <c r="BE52" s="1047">
        <v>2050</v>
      </c>
      <c r="BH52" s="998" t="s">
        <v>1651</v>
      </c>
      <c r="BJ52" s="1144" t="s">
        <v>1050</v>
      </c>
      <c r="BL52" s="1144" t="s">
        <v>1050</v>
      </c>
    </row>
    <row r="53" spans="1:64" ht="11.25" customHeight="1">
      <c r="A53" s="1004" t="s">
        <v>1677</v>
      </c>
      <c r="E53" s="344" t="s">
        <v>1678</v>
      </c>
      <c r="F53" s="1043" t="s">
        <v>1678</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1679</v>
      </c>
      <c r="K53" s="1673"/>
      <c r="AX53" s="1047" t="s">
        <v>1680</v>
      </c>
      <c r="BE53" s="1047">
        <v>2051</v>
      </c>
      <c r="BH53" s="998" t="s">
        <v>1654</v>
      </c>
      <c r="BJ53" s="1144" t="s">
        <v>1627</v>
      </c>
      <c r="BL53" s="1144" t="s">
        <v>1627</v>
      </c>
    </row>
    <row r="54" spans="1:64" ht="11.25" customHeight="1">
      <c r="A54" s="1004" t="s">
        <v>1681</v>
      </c>
      <c r="AX54" s="1047" t="s">
        <v>1682</v>
      </c>
      <c r="AZ54" s="997" t="s">
        <v>1683</v>
      </c>
      <c r="BE54" s="1047">
        <v>2052</v>
      </c>
      <c r="BH54" s="998" t="s">
        <v>1660</v>
      </c>
      <c r="BJ54" s="1144" t="s">
        <v>1631</v>
      </c>
      <c r="BL54" s="1144" t="s">
        <v>1631</v>
      </c>
    </row>
    <row r="55" spans="1:64" ht="11.25" customHeight="1">
      <c r="A55" s="1004" t="s">
        <v>1684</v>
      </c>
      <c r="AX55" s="1047" t="s">
        <v>1685</v>
      </c>
      <c r="AZ55" s="1047" t="s">
        <v>1219</v>
      </c>
      <c r="BE55" s="1047">
        <v>2053</v>
      </c>
      <c r="BH55" s="1000" t="s">
        <v>22</v>
      </c>
      <c r="BJ55" s="1144" t="s">
        <v>1051</v>
      </c>
      <c r="BL55" s="1144" t="s">
        <v>1051</v>
      </c>
    </row>
    <row r="56" spans="1:64" ht="11.25" customHeight="1">
      <c r="A56" s="1004" t="s">
        <v>1686</v>
      </c>
      <c r="D56" s="1046" t="s">
        <v>1687</v>
      </c>
      <c r="E56" s="1024" t="s">
        <v>110</v>
      </c>
      <c r="F56" s="1004" t="s">
        <v>1688</v>
      </c>
      <c r="AX56" s="1047" t="s">
        <v>1689</v>
      </c>
      <c r="AZ56" s="1047" t="s">
        <v>1247</v>
      </c>
      <c r="BE56" s="1047">
        <v>2054</v>
      </c>
      <c r="BH56" s="1000" t="s">
        <v>22</v>
      </c>
      <c r="BJ56" s="1144" t="s">
        <v>1638</v>
      </c>
      <c r="BL56" s="1144" t="s">
        <v>1638</v>
      </c>
    </row>
    <row r="57" spans="1:64" ht="11.25" customHeight="1">
      <c r="A57" s="1004" t="s">
        <v>1690</v>
      </c>
      <c r="D57" s="1046" t="s">
        <v>1691</v>
      </c>
      <c r="E57" s="1024" t="s">
        <v>1680</v>
      </c>
      <c r="F57" s="1004" t="s">
        <v>1688</v>
      </c>
      <c r="AX57" s="1047" t="s">
        <v>1692</v>
      </c>
      <c r="AZ57" s="1047" t="s">
        <v>1281</v>
      </c>
      <c r="BE57" s="1047">
        <v>2055</v>
      </c>
      <c r="BJ57" s="1144" t="s">
        <v>1647</v>
      </c>
      <c r="BL57" s="1144" t="s">
        <v>1647</v>
      </c>
    </row>
    <row r="58" spans="1:64" ht="11.25" customHeight="1">
      <c r="A58" s="1004" t="s">
        <v>1693</v>
      </c>
      <c r="D58" s="1046" t="s">
        <v>1694</v>
      </c>
      <c r="E58" s="1024" t="s">
        <v>110</v>
      </c>
      <c r="F58" s="1004" t="s">
        <v>1688</v>
      </c>
      <c r="AX58" s="1047" t="s">
        <v>1695</v>
      </c>
      <c r="BE58" s="1047">
        <v>2056</v>
      </c>
      <c r="BJ58" s="1144" t="s">
        <v>1651</v>
      </c>
      <c r="BL58" s="1144" t="s">
        <v>1651</v>
      </c>
    </row>
    <row r="59" spans="1:64" ht="11.25" customHeight="1">
      <c r="A59" s="1004" t="s">
        <v>1696</v>
      </c>
      <c r="D59" s="1046" t="s">
        <v>135</v>
      </c>
      <c r="E59" s="1024" t="s">
        <v>1583</v>
      </c>
      <c r="F59" s="1004" t="s">
        <v>1697</v>
      </c>
      <c r="AX59" s="1047" t="s">
        <v>1698</v>
      </c>
      <c r="AZ59" s="997" t="s">
        <v>1699</v>
      </c>
      <c r="BE59" s="1047">
        <v>2057</v>
      </c>
      <c r="BJ59" s="1144" t="s">
        <v>1654</v>
      </c>
      <c r="BL59" s="1144" t="s">
        <v>1654</v>
      </c>
    </row>
    <row r="60" spans="1:64" ht="11.25" customHeight="1">
      <c r="A60" s="1004" t="s">
        <v>1700</v>
      </c>
      <c r="D60" s="1046" t="s">
        <v>1701</v>
      </c>
      <c r="E60" s="1024" t="s">
        <v>1583</v>
      </c>
      <c r="F60" s="1004" t="s">
        <v>1697</v>
      </c>
      <c r="AX60" s="1047" t="s">
        <v>1702</v>
      </c>
      <c r="AZ60" s="1047" t="s">
        <v>1220</v>
      </c>
      <c r="BE60" s="1047">
        <v>2058</v>
      </c>
      <c r="BJ60" s="1144" t="s">
        <v>1660</v>
      </c>
      <c r="BL60" s="1144" t="s">
        <v>1660</v>
      </c>
    </row>
    <row r="61" spans="1:64" ht="11.25" customHeight="1">
      <c r="A61" s="1004" t="s">
        <v>1703</v>
      </c>
      <c r="D61" s="1046" t="s">
        <v>1704</v>
      </c>
      <c r="E61" s="1024" t="s">
        <v>1583</v>
      </c>
      <c r="F61" s="1004" t="s">
        <v>1697</v>
      </c>
      <c r="AX61" s="1047" t="s">
        <v>1705</v>
      </c>
      <c r="AZ61" s="1047" t="s">
        <v>1248</v>
      </c>
      <c r="BE61" s="1047">
        <v>2059</v>
      </c>
      <c r="BL61" s="1144" t="s">
        <v>1043</v>
      </c>
    </row>
    <row r="62" spans="1:64" ht="11.25" customHeight="1">
      <c r="A62" s="1004" t="s">
        <v>1706</v>
      </c>
      <c r="D62" s="1046" t="s">
        <v>134</v>
      </c>
      <c r="E62" s="1024">
        <v>30</v>
      </c>
      <c r="F62" s="1004" t="s">
        <v>1697</v>
      </c>
      <c r="AZ62" s="1047" t="s">
        <v>1282</v>
      </c>
      <c r="BE62" s="1047">
        <v>2060</v>
      </c>
      <c r="BL62" s="1144" t="s">
        <v>1045</v>
      </c>
    </row>
    <row r="63" spans="1:64" ht="11.25" customHeight="1">
      <c r="A63" s="1004" t="s">
        <v>1707</v>
      </c>
      <c r="D63" s="1046" t="s">
        <v>1708</v>
      </c>
      <c r="E63" s="1024">
        <v>30</v>
      </c>
      <c r="F63" s="1004" t="s">
        <v>1697</v>
      </c>
      <c r="AZ63" s="1047" t="s">
        <v>1314</v>
      </c>
      <c r="BE63" s="1047">
        <v>2061</v>
      </c>
    </row>
    <row r="64" spans="1:64" ht="11.25" customHeight="1">
      <c r="A64" s="1004" t="s">
        <v>1709</v>
      </c>
      <c r="D64" s="1046" t="s">
        <v>1710</v>
      </c>
      <c r="E64" s="1024">
        <v>30</v>
      </c>
      <c r="F64" s="1004" t="s">
        <v>1697</v>
      </c>
      <c r="AZ64" s="1047" t="s">
        <v>1337</v>
      </c>
      <c r="BE64" s="1047">
        <v>2062</v>
      </c>
    </row>
    <row r="65" spans="1:66" ht="11.25" customHeight="1">
      <c r="A65" s="1004" t="s">
        <v>1711</v>
      </c>
      <c r="D65" s="1004"/>
      <c r="BE65" s="1047">
        <v>2063</v>
      </c>
    </row>
    <row r="66" spans="1:66" ht="11.25" customHeight="1">
      <c r="A66" s="1004" t="s">
        <v>1712</v>
      </c>
      <c r="AZ66" s="997" t="s">
        <v>1713</v>
      </c>
      <c r="BE66" s="1047">
        <v>2064</v>
      </c>
    </row>
    <row r="67" spans="1:66" ht="11.25" customHeight="1">
      <c r="A67" s="1004" t="s">
        <v>1714</v>
      </c>
      <c r="AZ67" s="1047" t="s">
        <v>1221</v>
      </c>
      <c r="BE67" s="1047">
        <v>2065</v>
      </c>
    </row>
    <row r="68" spans="1:66" ht="11.25" customHeight="1">
      <c r="A68" s="1004" t="s">
        <v>1715</v>
      </c>
      <c r="AZ68" s="1047" t="s">
        <v>1249</v>
      </c>
      <c r="BE68" s="1047">
        <v>2066</v>
      </c>
      <c r="BH68" s="997" t="s">
        <v>1716</v>
      </c>
      <c r="BJ68" s="997" t="s">
        <v>1717</v>
      </c>
      <c r="BL68" s="997" t="s">
        <v>1718</v>
      </c>
      <c r="BN68" s="997" t="s">
        <v>1719</v>
      </c>
    </row>
    <row r="69" spans="1:66" ht="11.25" customHeight="1">
      <c r="A69" s="1004" t="s">
        <v>1720</v>
      </c>
      <c r="AZ69" s="1047" t="s">
        <v>1283</v>
      </c>
      <c r="BE69" s="1047">
        <v>2067</v>
      </c>
      <c r="BH69" s="998" t="s">
        <v>1721</v>
      </c>
      <c r="BI69" s="1045" t="s">
        <v>108</v>
      </c>
      <c r="BJ69" s="998" t="s">
        <v>1722</v>
      </c>
      <c r="BK69" s="1045" t="s">
        <v>108</v>
      </c>
      <c r="BL69" s="998" t="s">
        <v>1723</v>
      </c>
      <c r="BM69" s="1000" t="s">
        <v>108</v>
      </c>
      <c r="BN69" s="998" t="s">
        <v>1724</v>
      </c>
    </row>
    <row r="70" spans="1:66" ht="11.25" customHeight="1">
      <c r="A70" s="1004" t="s">
        <v>1725</v>
      </c>
      <c r="AZ70" s="1047" t="s">
        <v>1315</v>
      </c>
      <c r="BE70" s="1047">
        <v>2068</v>
      </c>
      <c r="BH70" s="998" t="s">
        <v>1726</v>
      </c>
      <c r="BJ70" s="998" t="s">
        <v>1727</v>
      </c>
      <c r="BL70" s="998" t="s">
        <v>1728</v>
      </c>
      <c r="BN70" s="998" t="s">
        <v>1729</v>
      </c>
    </row>
    <row r="71" spans="1:66" ht="11.25" customHeight="1">
      <c r="A71" s="1004" t="s">
        <v>1730</v>
      </c>
      <c r="AZ71" s="1047" t="s">
        <v>1317</v>
      </c>
      <c r="BE71" s="1047">
        <v>2069</v>
      </c>
      <c r="BH71" s="998" t="s">
        <v>1731</v>
      </c>
      <c r="BI71" s="1045" t="s">
        <v>89</v>
      </c>
      <c r="BJ71" s="998" t="s">
        <v>1732</v>
      </c>
      <c r="BK71" s="1045" t="s">
        <v>89</v>
      </c>
      <c r="BL71" s="998" t="s">
        <v>1733</v>
      </c>
      <c r="BM71" s="1000" t="s">
        <v>89</v>
      </c>
      <c r="BN71" s="998" t="s">
        <v>1734</v>
      </c>
    </row>
    <row r="72" spans="1:66" ht="11.25" customHeight="1">
      <c r="A72" s="1004" t="s">
        <v>1735</v>
      </c>
      <c r="AZ72" s="1047" t="s">
        <v>19</v>
      </c>
      <c r="BE72" s="1047">
        <v>2070</v>
      </c>
      <c r="BH72" s="998" t="s">
        <v>1736</v>
      </c>
      <c r="BJ72" s="998" t="s">
        <v>1736</v>
      </c>
      <c r="BL72" s="998" t="s">
        <v>1736</v>
      </c>
      <c r="BN72" s="998" t="s">
        <v>1737</v>
      </c>
    </row>
    <row r="73" spans="1:66" ht="11.25" customHeight="1">
      <c r="A73" s="1004" t="s">
        <v>1738</v>
      </c>
      <c r="BH73" s="998" t="s">
        <v>1739</v>
      </c>
      <c r="BI73" s="1045" t="s">
        <v>110</v>
      </c>
      <c r="BJ73" s="998" t="s">
        <v>1740</v>
      </c>
      <c r="BK73" s="1045" t="s">
        <v>110</v>
      </c>
      <c r="BL73" s="998" t="s">
        <v>1741</v>
      </c>
      <c r="BM73" s="1000" t="s">
        <v>110</v>
      </c>
      <c r="BN73" s="998" t="s">
        <v>1742</v>
      </c>
    </row>
    <row r="74" spans="1:66" ht="11.25" customHeight="1">
      <c r="A74" s="1004" t="s">
        <v>1743</v>
      </c>
      <c r="BH74" s="998" t="s">
        <v>1744</v>
      </c>
      <c r="BJ74" s="998" t="s">
        <v>1745</v>
      </c>
      <c r="BL74" s="998" t="s">
        <v>1746</v>
      </c>
      <c r="BN74" s="998" t="s">
        <v>1747</v>
      </c>
    </row>
    <row r="75" spans="1:66" ht="11.25" customHeight="1">
      <c r="A75" s="1004" t="s">
        <v>1748</v>
      </c>
      <c r="AZ75" s="997" t="s">
        <v>1749</v>
      </c>
      <c r="BH75" s="998" t="s">
        <v>1750</v>
      </c>
      <c r="BJ75" s="998" t="s">
        <v>1750</v>
      </c>
      <c r="BL75" s="998" t="s">
        <v>1750</v>
      </c>
    </row>
    <row r="76" spans="1:66" ht="11.25" customHeight="1">
      <c r="A76" s="1004" t="s">
        <v>1751</v>
      </c>
      <c r="AZ76" s="1047" t="s">
        <v>1230</v>
      </c>
      <c r="BH76" s="998" t="s">
        <v>1752</v>
      </c>
      <c r="BJ76" s="998" t="s">
        <v>1753</v>
      </c>
      <c r="BL76" s="998" t="s">
        <v>1754</v>
      </c>
    </row>
    <row r="77" spans="1:66" ht="11.25" customHeight="1">
      <c r="A77" s="1004" t="s">
        <v>1755</v>
      </c>
      <c r="AZ77" s="1047" t="s">
        <v>1259</v>
      </c>
    </row>
    <row r="78" spans="1:66" ht="11.25" customHeight="1">
      <c r="A78" s="1004" t="s">
        <v>1756</v>
      </c>
      <c r="AZ78" s="1047" t="s">
        <v>1290</v>
      </c>
    </row>
    <row r="79" spans="1:66" ht="11.25" customHeight="1">
      <c r="A79" s="1004" t="s">
        <v>1757</v>
      </c>
      <c r="AZ79" s="1047" t="s">
        <v>1321</v>
      </c>
      <c r="BH79" s="997" t="s">
        <v>1758</v>
      </c>
      <c r="BJ79" s="997" t="s">
        <v>1759</v>
      </c>
      <c r="BL79" s="997" t="s">
        <v>1760</v>
      </c>
    </row>
    <row r="80" spans="1:66" ht="11.25" customHeight="1">
      <c r="A80" s="1004" t="s">
        <v>1761</v>
      </c>
      <c r="AZ80" s="1047" t="s">
        <v>1342</v>
      </c>
      <c r="BH80" s="998" t="s">
        <v>1762</v>
      </c>
      <c r="BJ80" s="998" t="s">
        <v>1763</v>
      </c>
      <c r="BL80" s="998" t="s">
        <v>1764</v>
      </c>
    </row>
    <row r="81" spans="1:66" ht="11.25" customHeight="1">
      <c r="A81" s="1004" t="s">
        <v>1765</v>
      </c>
      <c r="AZ81" s="1047" t="s">
        <v>1359</v>
      </c>
      <c r="BH81" s="998" t="s">
        <v>1766</v>
      </c>
      <c r="BJ81" s="998" t="s">
        <v>1767</v>
      </c>
      <c r="BL81" s="998" t="s">
        <v>1768</v>
      </c>
    </row>
    <row r="82" spans="1:66" ht="11.25" customHeight="1">
      <c r="A82" s="1004" t="s">
        <v>1769</v>
      </c>
      <c r="AZ82" s="1047" t="s">
        <v>1374</v>
      </c>
      <c r="BH82" s="998" t="s">
        <v>1770</v>
      </c>
      <c r="BJ82" s="998" t="s">
        <v>1771</v>
      </c>
      <c r="BL82" s="998" t="s">
        <v>1772</v>
      </c>
    </row>
    <row r="83" spans="1:66" ht="11.25" customHeight="1">
      <c r="A83" s="1004" t="s">
        <v>1773</v>
      </c>
      <c r="BH83" s="998" t="s">
        <v>1774</v>
      </c>
      <c r="BJ83" s="998" t="s">
        <v>1775</v>
      </c>
      <c r="BL83" s="998" t="s">
        <v>1776</v>
      </c>
    </row>
    <row r="84" spans="1:66" ht="11.25" customHeight="1">
      <c r="A84" s="1004" t="s">
        <v>1777</v>
      </c>
      <c r="AZ84" s="997" t="s">
        <v>1778</v>
      </c>
    </row>
    <row r="85" spans="1:66" ht="11.25" customHeight="1">
      <c r="A85" s="1796" t="s">
        <v>1779</v>
      </c>
      <c r="AZ85" s="1047" t="s">
        <v>1780</v>
      </c>
    </row>
    <row r="86" spans="1:66" ht="11.25" customHeight="1">
      <c r="A86" s="1004" t="s">
        <v>1781</v>
      </c>
      <c r="AZ86" s="1047" t="s">
        <v>1782</v>
      </c>
      <c r="BH86" s="997" t="s">
        <v>1783</v>
      </c>
      <c r="BJ86" s="997" t="s">
        <v>1784</v>
      </c>
      <c r="BL86" s="997" t="s">
        <v>1785</v>
      </c>
    </row>
    <row r="87" spans="1:66" ht="11.25" customHeight="1">
      <c r="A87" s="1004" t="s">
        <v>1786</v>
      </c>
      <c r="AZ87" s="1047" t="s">
        <v>1787</v>
      </c>
      <c r="BH87" s="998" t="s">
        <v>1788</v>
      </c>
      <c r="BJ87" s="998" t="s">
        <v>1789</v>
      </c>
      <c r="BL87" s="998" t="s">
        <v>1790</v>
      </c>
    </row>
    <row r="88" spans="1:66" ht="11.25" customHeight="1">
      <c r="A88" s="1004" t="s">
        <v>1791</v>
      </c>
      <c r="AZ88" s="1533"/>
      <c r="BH88" s="998" t="s">
        <v>1792</v>
      </c>
      <c r="BJ88" s="998" t="s">
        <v>1793</v>
      </c>
      <c r="BL88" s="998" t="s">
        <v>1794</v>
      </c>
    </row>
    <row r="89" spans="1:66" ht="11.25" customHeight="1">
      <c r="A89" s="1004" t="s">
        <v>1795</v>
      </c>
      <c r="AZ89" s="997" t="s">
        <v>1796</v>
      </c>
    </row>
    <row r="90" spans="1:66" ht="11.25" customHeight="1">
      <c r="A90" s="1004" t="s">
        <v>1797</v>
      </c>
      <c r="AZ90" s="1047" t="s">
        <v>1021</v>
      </c>
    </row>
    <row r="91" spans="1:66" ht="11.25" customHeight="1">
      <c r="A91" s="1004" t="s">
        <v>1798</v>
      </c>
      <c r="AZ91" s="1047" t="s">
        <v>1057</v>
      </c>
      <c r="BH91" s="997" t="s">
        <v>1799</v>
      </c>
      <c r="BJ91" s="997" t="s">
        <v>1800</v>
      </c>
      <c r="BL91" s="997" t="s">
        <v>1801</v>
      </c>
    </row>
    <row r="92" spans="1:66" ht="11.25" customHeight="1">
      <c r="AZ92" s="1047" t="s">
        <v>1802</v>
      </c>
      <c r="BH92" s="998" t="s">
        <v>1803</v>
      </c>
      <c r="BJ92" s="998" t="s">
        <v>1804</v>
      </c>
      <c r="BL92" s="998" t="s">
        <v>1805</v>
      </c>
    </row>
    <row r="93" spans="1:66" ht="11.25" customHeight="1">
      <c r="AZ93" s="1047" t="s">
        <v>1806</v>
      </c>
      <c r="BH93" s="998" t="s">
        <v>1807</v>
      </c>
      <c r="BJ93" s="998" t="s">
        <v>1808</v>
      </c>
      <c r="BL93" s="998" t="s">
        <v>1809</v>
      </c>
    </row>
    <row r="94" spans="1:66" ht="11.25" customHeight="1">
      <c r="AZ94" s="1047" t="s">
        <v>1810</v>
      </c>
    </row>
    <row r="96" spans="1:66" ht="11.25" customHeight="1">
      <c r="AZ96" s="997" t="s">
        <v>1811</v>
      </c>
      <c r="BH96" s="997" t="s">
        <v>1812</v>
      </c>
      <c r="BJ96" s="997" t="s">
        <v>1813</v>
      </c>
      <c r="BL96" s="997" t="s">
        <v>1814</v>
      </c>
      <c r="BN96" s="997" t="s">
        <v>1815</v>
      </c>
    </row>
    <row r="97" spans="52:66" ht="11.25" customHeight="1">
      <c r="AZ97" s="1827" t="s">
        <v>1816</v>
      </c>
      <c r="BA97" s="1828" t="s">
        <v>1817</v>
      </c>
      <c r="BH97" s="998" t="s">
        <v>1818</v>
      </c>
      <c r="BJ97" s="998" t="s">
        <v>1819</v>
      </c>
      <c r="BL97" s="998" t="s">
        <v>1820</v>
      </c>
      <c r="BN97" s="998" t="s">
        <v>1821</v>
      </c>
    </row>
    <row r="98" spans="52:66" ht="11.25" customHeight="1">
      <c r="AZ98" s="1827" t="s">
        <v>1822</v>
      </c>
      <c r="BA98" s="1828" t="s">
        <v>1823</v>
      </c>
      <c r="BH98" s="998" t="s">
        <v>1824</v>
      </c>
      <c r="BJ98" s="998" t="s">
        <v>1825</v>
      </c>
      <c r="BL98" s="998" t="s">
        <v>1826</v>
      </c>
      <c r="BN98" s="998" t="s">
        <v>1827</v>
      </c>
    </row>
    <row r="99" spans="52:66" ht="22.5" customHeight="1">
      <c r="AZ99" s="1827" t="s">
        <v>1828</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1829</v>
      </c>
      <c r="BJ99" s="998" t="s">
        <v>1830</v>
      </c>
      <c r="BL99" s="998" t="s">
        <v>1831</v>
      </c>
      <c r="BN99" s="998" t="s">
        <v>1832</v>
      </c>
    </row>
    <row r="100" spans="52:66" ht="22.5" customHeight="1">
      <c r="AZ100" s="1827" t="s">
        <v>1833</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1419</v>
      </c>
      <c r="BL100" s="998" t="s">
        <v>1419</v>
      </c>
      <c r="BN100" s="998" t="s">
        <v>1834</v>
      </c>
    </row>
    <row r="101" spans="52:66" ht="22.5" customHeight="1">
      <c r="AZ101" s="1827" t="s">
        <v>1835</v>
      </c>
      <c r="BA101" s="1828" t="s">
        <v>1836</v>
      </c>
      <c r="BN101" s="998" t="s">
        <v>1837</v>
      </c>
    </row>
    <row r="102" spans="52:66" ht="22.5" customHeight="1">
      <c r="AZ102" s="1827" t="s">
        <v>1838</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1839</v>
      </c>
    </row>
    <row r="103" spans="52:66" ht="11.25" customHeight="1">
      <c r="AZ103" s="1827" t="s">
        <v>1840</v>
      </c>
      <c r="BA103" s="1828" t="s">
        <v>1841</v>
      </c>
      <c r="BN103" s="998" t="s">
        <v>1842</v>
      </c>
    </row>
    <row r="104" spans="52:66" ht="11.25" customHeight="1">
      <c r="BN104" s="998" t="s">
        <v>1843</v>
      </c>
    </row>
    <row r="105" spans="52:66" ht="11.25" customHeight="1">
      <c r="AZ105" s="1619" t="s">
        <v>1844</v>
      </c>
    </row>
    <row r="106" spans="52:66" ht="11.25" customHeight="1">
      <c r="AZ106" s="1047" t="s">
        <v>1845</v>
      </c>
    </row>
    <row r="107" spans="52:66" ht="11.25" customHeight="1">
      <c r="AZ107" s="1047" t="s">
        <v>1846</v>
      </c>
      <c r="BH107" s="997" t="s">
        <v>1847</v>
      </c>
      <c r="BJ107" s="997" t="s">
        <v>1848</v>
      </c>
      <c r="BL107" s="997" t="s">
        <v>1849</v>
      </c>
      <c r="BN107" s="997" t="s">
        <v>1850</v>
      </c>
    </row>
    <row r="108" spans="52:66" ht="11.25" customHeight="1">
      <c r="AZ108" s="1047" t="s">
        <v>573</v>
      </c>
      <c r="BH108" s="998" t="s">
        <v>1851</v>
      </c>
      <c r="BJ108" s="998" t="s">
        <v>1852</v>
      </c>
      <c r="BL108" s="998" t="s">
        <v>1505</v>
      </c>
      <c r="BN108" s="998" t="s">
        <v>1853</v>
      </c>
    </row>
    <row r="109" spans="52:66" ht="11.25" customHeight="1">
      <c r="BH109" s="998" t="s">
        <v>1854</v>
      </c>
    </row>
    <row r="110" spans="52:66" ht="11.25" customHeight="1">
      <c r="AZ110" s="1619" t="s">
        <v>1855</v>
      </c>
      <c r="BH110" s="998" t="s">
        <v>1854</v>
      </c>
    </row>
    <row r="111" spans="52:66" ht="11.25" customHeight="1">
      <c r="AZ111" s="1827" t="s">
        <v>1816</v>
      </c>
      <c r="BA111" s="1828" t="s">
        <v>1817</v>
      </c>
    </row>
    <row r="112" spans="52:66" ht="11.25" customHeight="1">
      <c r="AZ112" s="1827" t="s">
        <v>1822</v>
      </c>
      <c r="BA112" s="1828" t="s">
        <v>1823</v>
      </c>
    </row>
    <row r="113" spans="52:60" ht="22.5" customHeight="1">
      <c r="AZ113" s="1827" t="s">
        <v>1828</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1833</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1856</v>
      </c>
    </row>
    <row r="115" spans="52:60" ht="22.5" customHeight="1">
      <c r="AZ115" s="1827" t="s">
        <v>1838</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1217</v>
      </c>
    </row>
    <row r="116" spans="52:60" ht="11.25" customHeight="1">
      <c r="AZ116" s="1827" t="s">
        <v>1840</v>
      </c>
      <c r="BA116" s="1828" t="s">
        <v>1841</v>
      </c>
      <c r="BH116" s="998" t="s">
        <v>1245</v>
      </c>
    </row>
    <row r="117" spans="52:60" ht="11.25" customHeight="1">
      <c r="BH117" s="998" t="s">
        <v>1279</v>
      </c>
    </row>
    <row r="118" spans="52:60" ht="11.25" customHeight="1">
      <c r="BH118" s="998"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301</v>
      </c>
      <c r="J1" s="392" t="s">
        <v>14</v>
      </c>
    </row>
    <row r="2" spans="1:10" ht="22.5" hidden="1" customHeight="1">
      <c r="A2" s="439"/>
      <c r="B2" s="439"/>
      <c r="C2" s="1657" t="s">
        <v>120</v>
      </c>
      <c r="D2" s="1447"/>
      <c r="E2" s="1453"/>
      <c r="F2" s="1476"/>
      <c r="H2" s="412"/>
      <c r="J2" s="392">
        <v>0</v>
      </c>
    </row>
    <row r="3" spans="1:10" ht="11.25" hidden="1" customHeight="1">
      <c r="J3" s="392">
        <v>0</v>
      </c>
    </row>
    <row r="4" spans="1:10" ht="11.45" customHeight="1">
      <c r="A4" s="1477"/>
      <c r="B4" s="1477"/>
      <c r="J4" s="392">
        <v>11</v>
      </c>
    </row>
    <row r="5" spans="1:10" ht="27.4" customHeight="1">
      <c r="D5" s="208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85"/>
      <c r="F5" s="2086"/>
      <c r="I5" s="652"/>
      <c r="J5" s="392">
        <v>26</v>
      </c>
    </row>
    <row r="6" spans="1:10" ht="18" customHeight="1">
      <c r="D6" s="2172" t="str">
        <f>IF(region_name=0,"Не определено",region_name)</f>
        <v>Волгоградская область</v>
      </c>
      <c r="E6" s="2172"/>
      <c r="F6" s="2172"/>
      <c r="I6" s="652"/>
      <c r="J6" s="392">
        <v>17</v>
      </c>
    </row>
    <row r="7" spans="1:10" s="414" customFormat="1" ht="11.45" customHeight="1">
      <c r="A7" s="438"/>
      <c r="B7" s="438"/>
      <c r="D7" s="651"/>
      <c r="E7" s="651"/>
      <c r="F7" s="689"/>
      <c r="G7" s="651"/>
      <c r="J7" s="414">
        <v>11</v>
      </c>
    </row>
    <row r="8" spans="1:10" ht="11.25" hidden="1" customHeight="1">
      <c r="A8" s="439"/>
      <c r="B8" s="439"/>
      <c r="C8" s="394"/>
      <c r="D8" s="400"/>
      <c r="E8" s="2178"/>
      <c r="F8" s="2178"/>
      <c r="J8" s="392">
        <v>0</v>
      </c>
    </row>
    <row r="9" spans="1:10" ht="11.45" customHeight="1">
      <c r="A9" s="439"/>
      <c r="B9" s="439"/>
      <c r="C9" s="394"/>
      <c r="D9" s="2175" t="s">
        <v>302</v>
      </c>
      <c r="E9" s="2176"/>
      <c r="F9" s="2176"/>
      <c r="G9" s="2179" t="s">
        <v>303</v>
      </c>
      <c r="J9" s="392">
        <v>11</v>
      </c>
    </row>
    <row r="10" spans="1:10" ht="11.45" customHeight="1">
      <c r="A10" s="439"/>
      <c r="B10" s="439"/>
      <c r="C10" s="394"/>
      <c r="D10" s="1401" t="s">
        <v>87</v>
      </c>
      <c r="E10" s="1403" t="s">
        <v>304</v>
      </c>
      <c r="F10" s="1403" t="s">
        <v>305</v>
      </c>
      <c r="G10" s="218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"Михайловское водопроводно-канализационное хозяйство"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1857</v>
      </c>
      <c r="F13" s="1448" t="s">
        <v>308</v>
      </c>
      <c r="G13" s="411"/>
      <c r="H13" s="1460"/>
      <c r="J13" s="392">
        <v>19</v>
      </c>
    </row>
    <row r="14" spans="1:10" ht="19.899999999999999" customHeight="1">
      <c r="A14" s="439"/>
      <c r="B14" s="439"/>
      <c r="C14" s="394"/>
      <c r="D14" s="1450" t="s">
        <v>711</v>
      </c>
      <c r="E14" s="1451" t="s">
        <v>1858</v>
      </c>
      <c r="F14" s="1453"/>
      <c r="G14" s="1452" t="s">
        <v>1859</v>
      </c>
      <c r="H14" s="1460"/>
      <c r="J14" s="392">
        <v>19</v>
      </c>
    </row>
    <row r="15" spans="1:10" ht="19.899999999999999" customHeight="1">
      <c r="A15" s="439"/>
      <c r="B15" s="439"/>
      <c r="C15" s="394"/>
      <c r="D15" s="1450" t="s">
        <v>309</v>
      </c>
      <c r="E15" s="1451" t="s">
        <v>1860</v>
      </c>
      <c r="F15" s="1453"/>
      <c r="G15" s="1452" t="s">
        <v>1861</v>
      </c>
      <c r="H15" s="1460"/>
      <c r="J15" s="392">
        <v>19</v>
      </c>
    </row>
    <row r="16" spans="1:10" ht="24" customHeight="1">
      <c r="A16" s="439"/>
      <c r="B16" s="439"/>
      <c r="C16" s="394"/>
      <c r="D16" s="1450" t="s">
        <v>312</v>
      </c>
      <c r="E16" s="1449" t="s">
        <v>1862</v>
      </c>
      <c r="F16" s="1458"/>
      <c r="G16" s="411" t="s">
        <v>1863</v>
      </c>
      <c r="H16" s="1460"/>
      <c r="J16" s="392">
        <v>23</v>
      </c>
    </row>
    <row r="17" spans="1:10" ht="48.2" customHeight="1">
      <c r="A17" s="439"/>
      <c r="B17" s="439"/>
      <c r="C17" s="394"/>
      <c r="D17" s="1447">
        <v>3</v>
      </c>
      <c r="E17" s="1454" t="s">
        <v>1864</v>
      </c>
      <c r="F17" s="1453"/>
      <c r="G17" s="411" t="s">
        <v>1865</v>
      </c>
      <c r="H17" s="1460"/>
      <c r="J17" s="392">
        <v>46</v>
      </c>
    </row>
    <row r="18" spans="1:10" ht="48.2" customHeight="1">
      <c r="A18" s="1402">
        <v>1</v>
      </c>
      <c r="B18" s="439"/>
      <c r="C18" s="1404"/>
      <c r="D18" s="1447" t="s">
        <v>90</v>
      </c>
      <c r="E18" s="1454" t="s">
        <v>1866</v>
      </c>
      <c r="F18" s="1453"/>
      <c r="G18" s="411" t="s">
        <v>1865</v>
      </c>
      <c r="H18" s="1460"/>
      <c r="I18" s="783"/>
      <c r="J18" s="392">
        <v>46</v>
      </c>
    </row>
    <row r="19" spans="1:10" ht="23.25" customHeight="1">
      <c r="A19" s="439"/>
      <c r="B19" s="439"/>
      <c r="C19" s="394"/>
      <c r="D19" s="1447" t="s">
        <v>110</v>
      </c>
      <c r="E19" s="1454" t="s">
        <v>1867</v>
      </c>
      <c r="F19" s="1448" t="s">
        <v>308</v>
      </c>
      <c r="G19" s="2386" t="s">
        <v>1868</v>
      </c>
      <c r="H19" s="412"/>
      <c r="J19" s="392">
        <v>22</v>
      </c>
    </row>
    <row r="20" spans="1:10" s="1457" customFormat="1" ht="5.25" hidden="1" customHeight="1">
      <c r="A20" s="439"/>
      <c r="B20" s="439"/>
      <c r="C20" s="1456"/>
      <c r="D20" s="1455" t="s">
        <v>1118</v>
      </c>
      <c r="E20" s="944"/>
      <c r="F20" s="943"/>
      <c r="G20" s="2387"/>
      <c r="J20" s="1457">
        <v>0</v>
      </c>
    </row>
    <row r="21" spans="1:10" ht="15.75" customHeight="1">
      <c r="A21" s="439"/>
      <c r="B21" s="439"/>
      <c r="C21" s="394"/>
      <c r="D21" s="404"/>
      <c r="E21" s="352" t="s">
        <v>341</v>
      </c>
      <c r="F21" s="406"/>
      <c r="G21" s="2388"/>
      <c r="H21" s="1460"/>
      <c r="J21" s="392">
        <v>15</v>
      </c>
    </row>
    <row r="22" spans="1:10" s="438" customFormat="1" ht="26.25" customHeight="1">
      <c r="A22" s="439"/>
      <c r="B22" s="439"/>
      <c r="C22" s="439"/>
      <c r="D22" s="1447" t="s">
        <v>91</v>
      </c>
      <c r="E22" s="411" t="s">
        <v>1869</v>
      </c>
      <c r="F22" s="1453"/>
      <c r="G22" s="411" t="s">
        <v>1870</v>
      </c>
      <c r="H22" s="1459"/>
      <c r="J22" s="438">
        <v>25</v>
      </c>
    </row>
    <row r="23" spans="1:10" s="438" customFormat="1" ht="19.899999999999999" customHeight="1">
      <c r="A23" s="439"/>
      <c r="B23" s="439"/>
      <c r="C23" s="439"/>
      <c r="D23" s="1447" t="s">
        <v>92</v>
      </c>
      <c r="E23" s="1454" t="s">
        <v>1871</v>
      </c>
      <c r="F23" s="1458"/>
      <c r="G23" s="411" t="s">
        <v>1872</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1873</v>
      </c>
      <c r="G1" s="1558" t="s">
        <v>48</v>
      </c>
      <c r="H1" s="1558" t="s">
        <v>50</v>
      </c>
      <c r="IU1" s="1082" t="s">
        <v>14</v>
      </c>
    </row>
    <row r="2" spans="1:255" s="1776" customFormat="1" ht="22.5" hidden="1" customHeight="1">
      <c r="A2" s="762"/>
      <c r="B2" s="1087">
        <v>1</v>
      </c>
      <c r="C2" s="1087"/>
      <c r="D2" s="1851" t="s">
        <v>120</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7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77"/>
      <c r="G5" s="2077"/>
      <c r="H5" s="2077"/>
      <c r="I5" s="2077"/>
      <c r="J5" s="2077"/>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73" t="s">
        <v>302</v>
      </c>
      <c r="F7" s="2078"/>
      <c r="G7" s="2078"/>
      <c r="H7" s="2078"/>
      <c r="I7" s="2078"/>
      <c r="J7" s="2389" t="s">
        <v>303</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1873</v>
      </c>
      <c r="G8" s="1467" t="s">
        <v>48</v>
      </c>
      <c r="H8" s="1467" t="s">
        <v>50</v>
      </c>
      <c r="I8" s="1467" t="s">
        <v>1874</v>
      </c>
      <c r="J8" s="239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3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1875</v>
      </c>
      <c r="G10" s="1469"/>
      <c r="H10" s="1469"/>
      <c r="I10" s="1825"/>
      <c r="J10" s="213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120</v>
      </c>
      <c r="E2" s="1815"/>
      <c r="F2" s="1818" t="str">
        <f>IF(ROIV_INFO_NAME="","",ROIV_INFO_NAME)</f>
        <v>МУП "Михайловское водопроводно-канализационное хозяйство"</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7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7"/>
      <c r="G5" s="2077"/>
      <c r="H5" s="2077"/>
      <c r="I5" s="2077"/>
      <c r="J5" s="2077"/>
      <c r="K5" s="2077"/>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73" t="s">
        <v>302</v>
      </c>
      <c r="F7" s="2078"/>
      <c r="G7" s="2078"/>
      <c r="H7" s="2078"/>
      <c r="I7" s="2078"/>
      <c r="J7" s="2078"/>
      <c r="K7" s="2078"/>
      <c r="L7" s="2389" t="s">
        <v>303</v>
      </c>
      <c r="M7" s="437"/>
      <c r="N7" s="437"/>
      <c r="O7" s="437"/>
      <c r="P7" s="437"/>
      <c r="Q7" s="163"/>
      <c r="R7" s="437"/>
      <c r="S7" s="162"/>
      <c r="T7" s="162"/>
      <c r="U7" s="162"/>
      <c r="V7" s="162"/>
      <c r="IW7" s="444">
        <v>14</v>
      </c>
    </row>
    <row r="8" spans="1:257" s="1746" customFormat="1" ht="67.150000000000006" customHeight="1">
      <c r="A8" s="1082"/>
      <c r="B8" s="1087"/>
      <c r="C8" s="1082"/>
      <c r="D8" s="1422"/>
      <c r="E8" s="2393" t="s">
        <v>87</v>
      </c>
      <c r="F8" s="239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9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96"/>
      <c r="I8" s="2397"/>
      <c r="J8" s="239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9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1"/>
      <c r="M8" s="437"/>
      <c r="N8" s="437"/>
      <c r="O8" s="437"/>
      <c r="P8" s="437"/>
      <c r="Q8" s="163"/>
      <c r="R8" s="437"/>
      <c r="S8" s="162"/>
      <c r="T8" s="162"/>
      <c r="U8" s="162"/>
      <c r="V8" s="162"/>
      <c r="IW8" s="444">
        <v>64</v>
      </c>
    </row>
    <row r="9" spans="1:257" s="1746" customFormat="1" ht="29.25" customHeight="1">
      <c r="A9" s="1082"/>
      <c r="B9" s="1087"/>
      <c r="C9" s="1082"/>
      <c r="D9" s="1422"/>
      <c r="E9" s="2394"/>
      <c r="F9" s="2394"/>
      <c r="G9" s="1464" t="s">
        <v>1876</v>
      </c>
      <c r="H9" s="1464" t="s">
        <v>1877</v>
      </c>
      <c r="I9" s="1464" t="s">
        <v>1878</v>
      </c>
      <c r="J9" s="2394"/>
      <c r="K9" s="2394"/>
      <c r="L9" s="2390"/>
      <c r="M9" s="437"/>
      <c r="N9" s="437"/>
      <c r="O9" s="437"/>
      <c r="P9" s="437"/>
      <c r="Q9" s="163"/>
      <c r="R9" s="437"/>
      <c r="S9" s="162"/>
      <c r="T9" s="162"/>
      <c r="U9" s="162"/>
      <c r="V9" s="162"/>
      <c r="IW9" s="444">
        <v>28</v>
      </c>
    </row>
    <row r="10" spans="1:257" s="1776" customFormat="1" ht="23.25" customHeight="1">
      <c r="A10" s="2076"/>
      <c r="B10" s="1087">
        <v>1</v>
      </c>
      <c r="C10" s="1087"/>
      <c r="D10" s="731"/>
      <c r="E10" s="729">
        <v>1</v>
      </c>
      <c r="F10" s="1466" t="str">
        <f>IF(ROIV_INFO_NAME="","",ROIV_INFO_NAME)</f>
        <v>МУП "Михайловское водопроводно-канализационное хозяйство"</v>
      </c>
      <c r="G10" s="1659" t="s">
        <v>22</v>
      </c>
      <c r="H10" s="1842"/>
      <c r="I10" s="1461"/>
      <c r="J10" s="749"/>
      <c r="K10" s="749"/>
      <c r="L10" s="23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76"/>
      <c r="B11" s="1087"/>
      <c r="C11" s="349"/>
      <c r="D11" s="732"/>
      <c r="E11" s="358"/>
      <c r="F11" s="353" t="s">
        <v>1879</v>
      </c>
      <c r="G11" s="124"/>
      <c r="H11" s="124"/>
      <c r="I11" s="124"/>
      <c r="J11" s="124"/>
      <c r="K11" s="361"/>
      <c r="L11" s="239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120</v>
      </c>
      <c r="E2" s="1830"/>
      <c r="F2" s="1832" t="str">
        <f>IF(ROIV_INFO_NAME="","",ROIV_INFO_NAME)</f>
        <v>МУП "Михайловское водопроводно-канализационное хозяйство"</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77"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77"/>
      <c r="G5" s="2077"/>
      <c r="H5" s="2077"/>
      <c r="I5" s="2077"/>
      <c r="J5" s="2077"/>
      <c r="K5" s="2077"/>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73" t="s">
        <v>302</v>
      </c>
      <c r="F7" s="2078"/>
      <c r="G7" s="2078"/>
      <c r="H7" s="2078"/>
      <c r="I7" s="2078"/>
      <c r="J7" s="2078"/>
      <c r="K7" s="2078"/>
      <c r="L7" s="2389" t="s">
        <v>303</v>
      </c>
      <c r="M7" s="1551"/>
      <c r="N7" s="1551"/>
      <c r="O7" s="1551"/>
      <c r="P7" s="1551"/>
      <c r="Q7" s="1551"/>
      <c r="R7" s="1551"/>
      <c r="S7" s="162"/>
      <c r="T7" s="162"/>
      <c r="U7" s="162"/>
      <c r="V7" s="162"/>
      <c r="IW7" s="1536">
        <v>14</v>
      </c>
    </row>
    <row r="8" spans="1:257" s="1746" customFormat="1" ht="67.150000000000006" customHeight="1">
      <c r="A8" s="1558"/>
      <c r="B8" s="1293"/>
      <c r="C8" s="1558"/>
      <c r="D8" s="1442"/>
      <c r="E8" s="2393" t="s">
        <v>87</v>
      </c>
      <c r="F8" s="2393" t="s">
        <v>1880</v>
      </c>
      <c r="G8" s="2395" t="s">
        <v>1881</v>
      </c>
      <c r="H8" s="2396"/>
      <c r="I8" s="2397"/>
      <c r="J8" s="2393" t="s">
        <v>1882</v>
      </c>
      <c r="K8" s="239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1"/>
      <c r="M8" s="1551"/>
      <c r="N8" s="1551"/>
      <c r="O8" s="1551"/>
      <c r="P8" s="1551"/>
      <c r="Q8" s="1551"/>
      <c r="R8" s="1551"/>
      <c r="S8" s="162"/>
      <c r="T8" s="162"/>
      <c r="U8" s="162"/>
      <c r="V8" s="162"/>
      <c r="IW8" s="1536">
        <v>64</v>
      </c>
    </row>
    <row r="9" spans="1:257" s="1746" customFormat="1" ht="29.25" customHeight="1">
      <c r="A9" s="1558"/>
      <c r="B9" s="1293"/>
      <c r="C9" s="1558"/>
      <c r="D9" s="1442"/>
      <c r="E9" s="2394"/>
      <c r="F9" s="2394"/>
      <c r="G9" s="1820" t="s">
        <v>1876</v>
      </c>
      <c r="H9" s="1820" t="s">
        <v>1877</v>
      </c>
      <c r="I9" s="1820" t="s">
        <v>1878</v>
      </c>
      <c r="J9" s="2394"/>
      <c r="K9" s="2394"/>
      <c r="L9" s="2390"/>
      <c r="M9" s="1551"/>
      <c r="N9" s="1551"/>
      <c r="O9" s="1551"/>
      <c r="P9" s="1551"/>
      <c r="Q9" s="1551"/>
      <c r="R9" s="1551"/>
      <c r="S9" s="162"/>
      <c r="T9" s="162"/>
      <c r="U9" s="162"/>
      <c r="V9" s="162"/>
      <c r="IW9" s="1536">
        <v>28</v>
      </c>
    </row>
    <row r="10" spans="1:257" s="1776" customFormat="1" ht="1.1499999999999999" customHeight="1">
      <c r="A10" s="2076"/>
      <c r="B10" s="1293">
        <v>1</v>
      </c>
      <c r="C10" s="1293"/>
      <c r="D10" s="731"/>
      <c r="E10" s="726">
        <v>0</v>
      </c>
      <c r="F10" s="1817" t="str">
        <f>IF(ROIV_INFO_NAME="","",ROIV_INFO_NAME)</f>
        <v>МУП "Михайловское водопроводно-канализационное хозяйство"</v>
      </c>
      <c r="G10" s="1660" t="s">
        <v>22</v>
      </c>
      <c r="H10" s="1829"/>
      <c r="I10" s="1829"/>
      <c r="J10" s="456"/>
      <c r="K10" s="456"/>
      <c r="L10" s="237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76"/>
      <c r="B11" s="1293"/>
      <c r="C11" s="349"/>
      <c r="D11" s="732"/>
      <c r="E11" s="358"/>
      <c r="F11" s="588" t="s">
        <v>1879</v>
      </c>
      <c r="G11" s="124"/>
      <c r="H11" s="124"/>
      <c r="I11" s="124"/>
      <c r="J11" s="124"/>
      <c r="K11" s="361"/>
      <c r="L11" s="239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120</v>
      </c>
      <c r="E2" s="2091">
        <v>1</v>
      </c>
      <c r="F2" s="2258" t="str">
        <f>IF(region_name="","",region_name)</f>
        <v>Волгоградская область</v>
      </c>
      <c r="G2" s="2406"/>
      <c r="H2" s="2407"/>
      <c r="I2" s="411"/>
      <c r="J2" s="1836">
        <v>1</v>
      </c>
      <c r="K2" s="1838"/>
      <c r="L2" s="1838"/>
      <c r="M2" s="1838"/>
      <c r="N2" s="429"/>
      <c r="O2" s="1462"/>
      <c r="P2" s="448"/>
      <c r="Q2" s="360">
        <v>0</v>
      </c>
    </row>
    <row r="3" spans="1:17" s="1776" customFormat="1" ht="22.5" hidden="1" customHeight="1">
      <c r="A3" s="762"/>
      <c r="B3" s="1087"/>
      <c r="C3" s="1087"/>
      <c r="D3" s="732"/>
      <c r="E3" s="2091"/>
      <c r="F3" s="2258"/>
      <c r="G3" s="2406"/>
      <c r="H3" s="2408"/>
      <c r="I3" s="358"/>
      <c r="J3" s="1427"/>
      <c r="K3" s="1427" t="s">
        <v>1883</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120</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40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0"/>
      <c r="G7" s="2400"/>
      <c r="H7" s="2400"/>
      <c r="I7" s="2400"/>
      <c r="J7" s="2400"/>
      <c r="K7" s="2400"/>
      <c r="L7" s="2400"/>
      <c r="M7" s="240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403"/>
      <c r="J9" s="2403"/>
      <c r="K9" s="2403"/>
      <c r="L9" s="1840"/>
      <c r="M9" s="1841"/>
      <c r="O9" s="1472"/>
      <c r="P9" s="1472"/>
      <c r="Q9" s="1473">
        <v>0</v>
      </c>
    </row>
    <row r="10" spans="1:17" s="1746" customFormat="1" ht="14.65" customHeight="1">
      <c r="A10" s="1082"/>
      <c r="B10" s="1087"/>
      <c r="C10" s="1082"/>
      <c r="D10" s="1422"/>
      <c r="E10" s="2091" t="s">
        <v>302</v>
      </c>
      <c r="F10" s="2091"/>
      <c r="G10" s="2091"/>
      <c r="H10" s="2091"/>
      <c r="I10" s="2091"/>
      <c r="J10" s="2091"/>
      <c r="K10" s="2091"/>
      <c r="L10" s="2091"/>
      <c r="M10" s="2073"/>
      <c r="N10" s="2393" t="s">
        <v>303</v>
      </c>
      <c r="O10" s="437"/>
      <c r="P10" s="437"/>
      <c r="Q10" s="444">
        <v>14</v>
      </c>
    </row>
    <row r="11" spans="1:17" s="1746" customFormat="1" ht="44.25" customHeight="1">
      <c r="A11" s="1558"/>
      <c r="B11" s="1293"/>
      <c r="C11" s="1558"/>
      <c r="D11" s="1442"/>
      <c r="E11" s="2402" t="s">
        <v>87</v>
      </c>
      <c r="F11" s="2402" t="s">
        <v>306</v>
      </c>
      <c r="G11" s="2402" t="s">
        <v>1884</v>
      </c>
      <c r="H11" s="2402"/>
      <c r="I11" s="2402" t="s">
        <v>1885</v>
      </c>
      <c r="J11" s="2402"/>
      <c r="K11" s="2402"/>
      <c r="L11" s="2402" t="s">
        <v>1886</v>
      </c>
      <c r="M11" s="2395" t="s">
        <v>1887</v>
      </c>
      <c r="N11" s="2401"/>
      <c r="O11" s="1551"/>
      <c r="P11" s="1551"/>
      <c r="Q11" s="1536">
        <v>42</v>
      </c>
    </row>
    <row r="12" spans="1:17" s="1746" customFormat="1" ht="29.25" customHeight="1">
      <c r="A12" s="1082"/>
      <c r="B12" s="1087"/>
      <c r="C12" s="1082"/>
      <c r="D12" s="1422"/>
      <c r="E12" s="2393"/>
      <c r="F12" s="2402"/>
      <c r="G12" s="1835" t="s">
        <v>1888</v>
      </c>
      <c r="H12" s="1835" t="s">
        <v>310</v>
      </c>
      <c r="I12" s="2402"/>
      <c r="J12" s="2402"/>
      <c r="K12" s="2402"/>
      <c r="L12" s="2402"/>
      <c r="M12" s="2395"/>
      <c r="N12" s="2394"/>
      <c r="O12" s="437"/>
      <c r="P12" s="437"/>
      <c r="Q12" s="444">
        <v>28</v>
      </c>
    </row>
    <row r="13" spans="1:17" s="1776" customFormat="1" ht="23.25" customHeight="1">
      <c r="A13" s="2076">
        <v>26379339</v>
      </c>
      <c r="B13" s="1087">
        <v>1</v>
      </c>
      <c r="C13" s="1087"/>
      <c r="D13" s="732"/>
      <c r="E13" s="2091">
        <v>1</v>
      </c>
      <c r="F13" s="2409" t="str">
        <f>IF(region_name="","",region_name)</f>
        <v>Волгоградская область</v>
      </c>
      <c r="G13" s="2410"/>
      <c r="H13" s="2404"/>
      <c r="I13" s="411"/>
      <c r="J13" s="1831">
        <v>1</v>
      </c>
      <c r="K13" s="1844"/>
      <c r="L13" s="1845"/>
      <c r="M13" s="1845"/>
      <c r="N13" s="2398" t="s">
        <v>1889</v>
      </c>
      <c r="O13" s="1462"/>
      <c r="P13" s="448"/>
      <c r="Q13" s="360">
        <v>22</v>
      </c>
    </row>
    <row r="14" spans="1:17" s="1776" customFormat="1" ht="23.25" customHeight="1">
      <c r="A14" s="2076"/>
      <c r="B14" s="1087"/>
      <c r="C14" s="1087"/>
      <c r="D14" s="732"/>
      <c r="E14" s="2091"/>
      <c r="F14" s="2409"/>
      <c r="G14" s="2410"/>
      <c r="H14" s="2405"/>
      <c r="I14" s="358"/>
      <c r="J14" s="1427"/>
      <c r="K14" s="1427" t="s">
        <v>1883</v>
      </c>
      <c r="L14" s="1470"/>
      <c r="M14" s="1470"/>
      <c r="N14" s="2399"/>
      <c r="O14" s="1462"/>
      <c r="P14" s="448"/>
      <c r="Q14" s="360">
        <v>22</v>
      </c>
    </row>
    <row r="15" spans="1:17" s="1776" customFormat="1" ht="23.25" customHeight="1">
      <c r="A15" s="2076"/>
      <c r="B15" s="1087"/>
      <c r="C15" s="349"/>
      <c r="D15" s="732"/>
      <c r="E15" s="358"/>
      <c r="F15" s="1427" t="s">
        <v>1875</v>
      </c>
      <c r="G15" s="1469"/>
      <c r="H15" s="1469"/>
      <c r="I15" s="124"/>
      <c r="J15" s="124"/>
      <c r="K15" s="124"/>
      <c r="L15" s="124"/>
      <c r="M15" s="124"/>
      <c r="N15" s="239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77" t="s">
        <v>1890</v>
      </c>
      <c r="E5" s="2077"/>
      <c r="F5" s="2077"/>
      <c r="G5" s="2077"/>
      <c r="H5" s="2077"/>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80" t="s">
        <v>302</v>
      </c>
      <c r="E8" s="2180"/>
      <c r="F8" s="2180"/>
      <c r="G8" s="2180"/>
      <c r="H8" s="2180"/>
      <c r="I8" s="2180" t="s">
        <v>303</v>
      </c>
      <c r="M8" s="60">
        <v>14</v>
      </c>
    </row>
    <row r="9" spans="1:13" ht="29.25" customHeight="1">
      <c r="D9" s="2180" t="s">
        <v>87</v>
      </c>
      <c r="E9" s="2180" t="s">
        <v>1891</v>
      </c>
      <c r="F9" s="2180"/>
      <c r="G9" s="2180"/>
      <c r="H9" s="2180"/>
      <c r="I9" s="2180"/>
      <c r="M9" s="60">
        <v>28</v>
      </c>
    </row>
    <row r="10" spans="1:13" ht="24" customHeight="1">
      <c r="D10" s="2180"/>
      <c r="E10" s="66" t="s">
        <v>1892</v>
      </c>
      <c r="F10" s="66" t="s">
        <v>1893</v>
      </c>
      <c r="G10" s="66" t="s">
        <v>1894</v>
      </c>
      <c r="H10" s="66" t="s">
        <v>392</v>
      </c>
      <c r="I10" s="2180"/>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135" t="s">
        <v>1895</v>
      </c>
      <c r="K12" s="209"/>
      <c r="L12" s="210"/>
      <c r="M12" s="56">
        <v>25</v>
      </c>
    </row>
    <row r="13" spans="1:13" ht="15.75" customHeight="1">
      <c r="A13" s="60"/>
      <c r="B13" s="60"/>
      <c r="C13" s="60"/>
      <c r="D13" s="48"/>
      <c r="E13" s="69" t="s">
        <v>470</v>
      </c>
      <c r="F13" s="68"/>
      <c r="G13" s="68"/>
      <c r="H13" s="151"/>
      <c r="I13" s="2137"/>
      <c r="M13" s="60">
        <v>15</v>
      </c>
    </row>
    <row r="14" spans="1:13" ht="3" customHeight="1">
      <c r="A14" s="60"/>
      <c r="B14" s="60"/>
      <c r="C14" s="60"/>
      <c r="M14" s="60">
        <v>3</v>
      </c>
    </row>
    <row r="15" spans="1:13" ht="29.25" customHeight="1">
      <c r="E15" s="2411" t="s">
        <v>1896</v>
      </c>
      <c r="F15" s="2411"/>
      <c r="G15" s="2411"/>
      <c r="H15" s="241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12" t="s">
        <v>1897</v>
      </c>
      <c r="E7" s="2413"/>
      <c r="F7" s="204"/>
      <c r="J7" s="8">
        <v>22</v>
      </c>
    </row>
    <row r="8" spans="1:10" ht="3" customHeight="1">
      <c r="C8" s="31"/>
      <c r="D8" s="9"/>
      <c r="E8" s="9"/>
      <c r="J8" s="8">
        <v>3</v>
      </c>
    </row>
    <row r="9" spans="1:10" ht="16.899999999999999" customHeight="1">
      <c r="C9" s="31"/>
      <c r="D9" s="44" t="s">
        <v>87</v>
      </c>
      <c r="E9" s="197" t="s">
        <v>1898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1899</v>
      </c>
      <c r="J13" s="8">
        <v>12</v>
      </c>
    </row>
    <row r="14" spans="1:10" ht="3" customHeight="1">
      <c r="J14" s="8">
        <v>3</v>
      </c>
    </row>
    <row r="15" spans="1:10" ht="23.25" customHeight="1">
      <c r="C15" s="75"/>
      <c r="D15" s="2411" t="s">
        <v>1900</v>
      </c>
      <c r="E15" s="241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77" t="s">
        <v>1901</v>
      </c>
      <c r="E7" s="2077"/>
      <c r="F7" s="204"/>
      <c r="M7" s="8">
        <v>22</v>
      </c>
    </row>
    <row r="8" spans="1:13" ht="3" customHeight="1">
      <c r="C8" s="31"/>
      <c r="D8" s="9"/>
      <c r="E8" s="9"/>
      <c r="M8" s="8">
        <v>3</v>
      </c>
    </row>
    <row r="9" spans="1:13" ht="16.899999999999999" customHeight="1">
      <c r="C9" s="31"/>
      <c r="D9" s="44" t="s">
        <v>87</v>
      </c>
      <c r="E9" s="47" t="s">
        <v>289</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1899</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281</v>
      </c>
      <c r="M2" s="1480" t="s">
        <v>282</v>
      </c>
      <c r="R2" s="1480" t="s">
        <v>283</v>
      </c>
      <c r="S2" s="1480" t="s">
        <v>282</v>
      </c>
      <c r="X2" s="1480" t="s">
        <v>281</v>
      </c>
      <c r="Y2" s="1480" t="s">
        <v>282</v>
      </c>
      <c r="AD2" s="1480" t="s">
        <v>281</v>
      </c>
      <c r="AE2" s="1480" t="s">
        <v>282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49" t="s">
        <v>284</v>
      </c>
      <c r="E4" s="2149"/>
      <c r="F4" s="2149"/>
      <c r="G4" s="2149"/>
      <c r="H4" s="2149"/>
      <c r="I4" s="2149"/>
      <c r="J4" s="2149"/>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72" t="str">
        <f>IF(org=0,"Не определено",org)</f>
        <v>МУП "Михайловское водопроводно-канализационное хозяйство"</v>
      </c>
      <c r="E5" s="2172"/>
      <c r="F5" s="2172"/>
      <c r="G5" s="2172"/>
      <c r="H5" s="2172"/>
      <c r="I5" s="2172"/>
      <c r="J5" s="217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91" t="s">
        <v>87</v>
      </c>
      <c r="E8" s="2091" t="s">
        <v>104</v>
      </c>
      <c r="F8" s="2151" t="s">
        <v>126</v>
      </c>
      <c r="G8" s="2152"/>
      <c r="H8" s="2151" t="s">
        <v>87</v>
      </c>
      <c r="I8" s="2152"/>
      <c r="J8" s="2091" t="s">
        <v>127</v>
      </c>
      <c r="K8" s="1483"/>
      <c r="L8" s="2150" t="s">
        <v>285</v>
      </c>
      <c r="M8" s="2150"/>
      <c r="N8" s="2150"/>
      <c r="O8" s="2150"/>
      <c r="P8" s="2150"/>
      <c r="Q8" s="1484"/>
      <c r="R8" s="2073" t="s">
        <v>286</v>
      </c>
      <c r="S8" s="2078"/>
      <c r="T8" s="2078"/>
      <c r="U8" s="2078"/>
      <c r="V8" s="2078"/>
      <c r="W8" s="1484"/>
      <c r="X8" s="2091" t="s">
        <v>287</v>
      </c>
      <c r="Y8" s="2091"/>
      <c r="Z8" s="2091"/>
      <c r="AA8" s="2091"/>
      <c r="AB8" s="2091"/>
      <c r="AC8" s="1485"/>
      <c r="AD8" s="2091" t="s">
        <v>288</v>
      </c>
      <c r="AE8" s="2091"/>
      <c r="AF8" s="2091"/>
      <c r="AG8" s="2091"/>
      <c r="AH8" s="2073"/>
      <c r="AI8" s="2091" t="s">
        <v>289</v>
      </c>
      <c r="AJ8" s="1501"/>
      <c r="BM8" s="230">
        <v>32</v>
      </c>
    </row>
    <row r="9" spans="1:65" ht="23.25" customHeight="1">
      <c r="D9" s="2091"/>
      <c r="E9" s="2091"/>
      <c r="F9" s="2150" t="s">
        <v>88</v>
      </c>
      <c r="G9" s="2150" t="s">
        <v>132</v>
      </c>
      <c r="H9" s="2153"/>
      <c r="I9" s="2154"/>
      <c r="J9" s="2073"/>
      <c r="K9" s="1486"/>
      <c r="L9" s="2091" t="s">
        <v>290</v>
      </c>
      <c r="M9" s="2073"/>
      <c r="N9" s="2151" t="s">
        <v>87</v>
      </c>
      <c r="O9" s="2152"/>
      <c r="P9" s="2091" t="s">
        <v>133</v>
      </c>
      <c r="Q9" s="1483"/>
      <c r="R9" s="2091" t="s">
        <v>290</v>
      </c>
      <c r="S9" s="2073"/>
      <c r="T9" s="2151" t="s">
        <v>87</v>
      </c>
      <c r="U9" s="2152"/>
      <c r="V9" s="2091" t="s">
        <v>133</v>
      </c>
      <c r="W9" s="1483"/>
      <c r="X9" s="2091" t="s">
        <v>290</v>
      </c>
      <c r="Y9" s="2073"/>
      <c r="Z9" s="2151" t="s">
        <v>87</v>
      </c>
      <c r="AA9" s="2152"/>
      <c r="AB9" s="2091" t="s">
        <v>291</v>
      </c>
      <c r="AC9" s="1483"/>
      <c r="AD9" s="2091" t="s">
        <v>290</v>
      </c>
      <c r="AE9" s="2073"/>
      <c r="AF9" s="2151" t="s">
        <v>87</v>
      </c>
      <c r="AG9" s="2152"/>
      <c r="AH9" s="2073" t="s">
        <v>291</v>
      </c>
      <c r="AI9" s="2091"/>
      <c r="AJ9" s="1501"/>
      <c r="BM9" s="230">
        <v>22</v>
      </c>
    </row>
    <row r="10" spans="1:65" ht="24" customHeight="1">
      <c r="D10" s="2150"/>
      <c r="E10" s="2150"/>
      <c r="F10" s="2155"/>
      <c r="G10" s="2155"/>
      <c r="H10" s="2156"/>
      <c r="I10" s="2157"/>
      <c r="J10" s="2151"/>
      <c r="K10" s="1486"/>
      <c r="L10" s="1505" t="s">
        <v>292</v>
      </c>
      <c r="M10" s="1500" t="s">
        <v>293</v>
      </c>
      <c r="N10" s="2153"/>
      <c r="O10" s="2154"/>
      <c r="P10" s="2150"/>
      <c r="Q10" s="1483"/>
      <c r="R10" s="1505" t="s">
        <v>292</v>
      </c>
      <c r="S10" s="1500" t="s">
        <v>293</v>
      </c>
      <c r="T10" s="2153"/>
      <c r="U10" s="2154"/>
      <c r="V10" s="2150"/>
      <c r="W10" s="1483"/>
      <c r="X10" s="1505" t="s">
        <v>292</v>
      </c>
      <c r="Y10" s="1500" t="s">
        <v>293</v>
      </c>
      <c r="Z10" s="2153"/>
      <c r="AA10" s="2154"/>
      <c r="AB10" s="2150"/>
      <c r="AC10" s="1483"/>
      <c r="AD10" s="1505" t="s">
        <v>292</v>
      </c>
      <c r="AE10" s="1500" t="s">
        <v>293</v>
      </c>
      <c r="AF10" s="2153"/>
      <c r="AG10" s="2154"/>
      <c r="AH10" s="2151"/>
      <c r="AI10" s="2150"/>
      <c r="AJ10" s="1501"/>
      <c r="AK10" s="191" t="s">
        <v>294</v>
      </c>
      <c r="AL10" s="191" t="s">
        <v>134</v>
      </c>
      <c r="BM10" s="230">
        <v>23</v>
      </c>
    </row>
    <row r="11" spans="1:65" ht="15" customHeight="1">
      <c r="D11" s="2158" t="s">
        <v>108</v>
      </c>
      <c r="E11" s="2160" t="s">
        <v>295</v>
      </c>
      <c r="F11" s="2160" t="s">
        <v>296</v>
      </c>
      <c r="G11" s="2163" t="s">
        <v>19</v>
      </c>
      <c r="H11" s="1526"/>
      <c r="I11" s="2165"/>
      <c r="J11" s="2120"/>
      <c r="K11" s="1441"/>
      <c r="L11" s="2112"/>
      <c r="M11" s="2112"/>
      <c r="N11" s="1511"/>
      <c r="O11" s="2112"/>
      <c r="P11" s="2120"/>
      <c r="Q11" s="1512"/>
      <c r="R11" s="2112"/>
      <c r="S11" s="2112"/>
      <c r="T11" s="1513"/>
      <c r="U11" s="2112"/>
      <c r="V11" s="2120"/>
      <c r="W11" s="1514"/>
      <c r="X11" s="2112"/>
      <c r="Y11" s="2112"/>
      <c r="Z11" s="1511"/>
      <c r="AA11" s="2112"/>
      <c r="AB11" s="2120"/>
      <c r="AC11" s="1515"/>
      <c r="AD11" s="2112"/>
      <c r="AE11" s="2112"/>
      <c r="AF11" s="1440"/>
      <c r="AG11" s="1440"/>
      <c r="AH11" s="1516"/>
      <c r="AI11" s="1223"/>
      <c r="AJ11" s="1501"/>
      <c r="BM11" s="230">
        <v>14</v>
      </c>
    </row>
    <row r="12" spans="1:65" ht="14.65" customHeight="1">
      <c r="D12" s="2158"/>
      <c r="E12" s="2160"/>
      <c r="F12" s="2160"/>
      <c r="G12" s="2164"/>
      <c r="H12" s="1527"/>
      <c r="I12" s="2166"/>
      <c r="J12" s="2121"/>
      <c r="K12" s="1537"/>
      <c r="L12" s="2113"/>
      <c r="M12" s="2113"/>
      <c r="N12" s="1517"/>
      <c r="O12" s="2113"/>
      <c r="P12" s="2121"/>
      <c r="Q12" s="1518"/>
      <c r="R12" s="2113"/>
      <c r="S12" s="2113"/>
      <c r="T12" s="1519"/>
      <c r="U12" s="2113"/>
      <c r="V12" s="2121"/>
      <c r="W12" s="1520"/>
      <c r="X12" s="2113"/>
      <c r="Y12" s="2113"/>
      <c r="Z12" s="1517"/>
      <c r="AA12" s="2113"/>
      <c r="AB12" s="2121"/>
      <c r="AC12" s="1521"/>
      <c r="AD12" s="2113"/>
      <c r="AE12" s="2113"/>
      <c r="AF12" s="1522"/>
      <c r="AG12" s="1522"/>
      <c r="AH12" s="2169"/>
      <c r="AI12" s="2170"/>
      <c r="AJ12" s="1501"/>
      <c r="BM12" s="230">
        <v>14</v>
      </c>
    </row>
    <row r="13" spans="1:65" ht="14.65" customHeight="1">
      <c r="D13" s="2158"/>
      <c r="E13" s="2160"/>
      <c r="F13" s="2160"/>
      <c r="G13" s="2164"/>
      <c r="H13" s="1527"/>
      <c r="I13" s="2166"/>
      <c r="J13" s="2121"/>
      <c r="K13" s="1537"/>
      <c r="L13" s="2113"/>
      <c r="M13" s="2113"/>
      <c r="N13" s="1517"/>
      <c r="O13" s="2113"/>
      <c r="P13" s="2121"/>
      <c r="Q13" s="1518"/>
      <c r="R13" s="2113"/>
      <c r="S13" s="2113"/>
      <c r="T13" s="1519"/>
      <c r="U13" s="2113"/>
      <c r="V13" s="2121"/>
      <c r="W13" s="1520"/>
      <c r="X13" s="2113"/>
      <c r="Y13" s="2113"/>
      <c r="Z13" s="1439"/>
      <c r="AA13" s="1522"/>
      <c r="AB13" s="2169"/>
      <c r="AC13" s="2169"/>
      <c r="AD13" s="2169"/>
      <c r="AE13" s="2169"/>
      <c r="AF13" s="2169"/>
      <c r="AG13" s="2169"/>
      <c r="AH13" s="2169"/>
      <c r="AI13" s="2170"/>
      <c r="AJ13" s="1501"/>
      <c r="BM13" s="230">
        <v>14</v>
      </c>
    </row>
    <row r="14" spans="1:65" ht="14.65" customHeight="1">
      <c r="D14" s="2158"/>
      <c r="E14" s="2160"/>
      <c r="F14" s="2160"/>
      <c r="G14" s="2164"/>
      <c r="H14" s="1527"/>
      <c r="I14" s="2166"/>
      <c r="J14" s="2121"/>
      <c r="K14" s="1537"/>
      <c r="L14" s="2113"/>
      <c r="M14" s="2113"/>
      <c r="N14" s="1517"/>
      <c r="O14" s="2113"/>
      <c r="P14" s="2121"/>
      <c r="Q14" s="1518"/>
      <c r="R14" s="2113"/>
      <c r="S14" s="2113"/>
      <c r="T14" s="1523"/>
      <c r="U14" s="1524"/>
      <c r="V14" s="2169"/>
      <c r="W14" s="2169"/>
      <c r="X14" s="2169"/>
      <c r="Y14" s="2169"/>
      <c r="Z14" s="2169"/>
      <c r="AA14" s="2169"/>
      <c r="AB14" s="2169"/>
      <c r="AC14" s="2169"/>
      <c r="AD14" s="2169"/>
      <c r="AE14" s="2169"/>
      <c r="AF14" s="2169"/>
      <c r="AG14" s="2169"/>
      <c r="AH14" s="2169"/>
      <c r="AI14" s="2170"/>
      <c r="AJ14" s="1501"/>
      <c r="BM14" s="230">
        <v>14</v>
      </c>
    </row>
    <row r="15" spans="1:65" ht="11.45" customHeight="1">
      <c r="D15" s="2158"/>
      <c r="E15" s="2160"/>
      <c r="F15" s="2160"/>
      <c r="G15" s="2164"/>
      <c r="H15" s="1528"/>
      <c r="I15" s="2166"/>
      <c r="J15" s="2121"/>
      <c r="K15" s="1537"/>
      <c r="L15" s="2113"/>
      <c r="M15" s="2113"/>
      <c r="N15" s="1522"/>
      <c r="O15" s="1522"/>
      <c r="P15" s="2169"/>
      <c r="Q15" s="2169"/>
      <c r="R15" s="2169"/>
      <c r="S15" s="2169"/>
      <c r="T15" s="2169"/>
      <c r="U15" s="2169"/>
      <c r="V15" s="2169"/>
      <c r="W15" s="2169"/>
      <c r="X15" s="2169"/>
      <c r="Y15" s="2169"/>
      <c r="Z15" s="2169"/>
      <c r="AA15" s="2169"/>
      <c r="AB15" s="2169"/>
      <c r="AC15" s="2169"/>
      <c r="AD15" s="2169"/>
      <c r="AE15" s="2169"/>
      <c r="AF15" s="2169"/>
      <c r="AG15" s="2169"/>
      <c r="AH15" s="2169"/>
      <c r="AI15" s="2170"/>
      <c r="AJ15" s="1501"/>
      <c r="BM15" s="230">
        <v>11</v>
      </c>
    </row>
    <row r="16" spans="1:65" s="1481" customFormat="1" ht="11.45" customHeight="1">
      <c r="D16" s="2159"/>
      <c r="E16" s="2161"/>
      <c r="F16" s="2162"/>
      <c r="G16" s="2107"/>
      <c r="H16" s="1525"/>
      <c r="I16" s="1529"/>
      <c r="J16" s="2167"/>
      <c r="K16" s="2167"/>
      <c r="L16" s="2167"/>
      <c r="M16" s="2167"/>
      <c r="N16" s="2167"/>
      <c r="O16" s="2167"/>
      <c r="P16" s="2167"/>
      <c r="Q16" s="2167"/>
      <c r="R16" s="2167"/>
      <c r="S16" s="2167"/>
      <c r="T16" s="2167"/>
      <c r="U16" s="2167"/>
      <c r="V16" s="2167"/>
      <c r="W16" s="2167"/>
      <c r="X16" s="2167"/>
      <c r="Y16" s="2167"/>
      <c r="Z16" s="2167"/>
      <c r="AA16" s="2167"/>
      <c r="AB16" s="2167"/>
      <c r="AC16" s="2167"/>
      <c r="AD16" s="2167"/>
      <c r="AE16" s="2167"/>
      <c r="AF16" s="2167"/>
      <c r="AG16" s="2167"/>
      <c r="AH16" s="2167"/>
      <c r="AI16" s="2168"/>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58" t="s">
        <v>109</v>
      </c>
      <c r="E17" s="2160" t="s">
        <v>295</v>
      </c>
      <c r="F17" s="2160" t="s">
        <v>297</v>
      </c>
      <c r="G17" s="2163" t="s">
        <v>19</v>
      </c>
      <c r="H17" s="1526"/>
      <c r="I17" s="2165"/>
      <c r="J17" s="2120"/>
      <c r="K17" s="1441"/>
      <c r="L17" s="2112"/>
      <c r="M17" s="2112"/>
      <c r="N17" s="1511"/>
      <c r="O17" s="2112"/>
      <c r="P17" s="2120"/>
      <c r="Q17" s="1512"/>
      <c r="R17" s="2112"/>
      <c r="S17" s="2112"/>
      <c r="T17" s="1513"/>
      <c r="U17" s="2112"/>
      <c r="V17" s="2120"/>
      <c r="W17" s="1514"/>
      <c r="X17" s="2112"/>
      <c r="Y17" s="2112"/>
      <c r="Z17" s="1511"/>
      <c r="AA17" s="2112"/>
      <c r="AB17" s="2120"/>
      <c r="AC17" s="1515"/>
      <c r="AD17" s="2112"/>
      <c r="AE17" s="2112"/>
      <c r="AF17" s="1440"/>
      <c r="AG17" s="1440"/>
      <c r="AH17" s="1516"/>
      <c r="AI17" s="1223"/>
      <c r="AJ17" s="1501"/>
      <c r="BM17" s="230">
        <v>14</v>
      </c>
    </row>
    <row r="18" spans="4:65" ht="14.65" customHeight="1">
      <c r="D18" s="2158"/>
      <c r="E18" s="2160"/>
      <c r="F18" s="2160"/>
      <c r="G18" s="2164"/>
      <c r="H18" s="1527"/>
      <c r="I18" s="2166"/>
      <c r="J18" s="2121"/>
      <c r="K18" s="1510"/>
      <c r="L18" s="2113"/>
      <c r="M18" s="2113"/>
      <c r="N18" s="1517"/>
      <c r="O18" s="2113"/>
      <c r="P18" s="2121"/>
      <c r="Q18" s="1518"/>
      <c r="R18" s="2113"/>
      <c r="S18" s="2113"/>
      <c r="T18" s="1519"/>
      <c r="U18" s="2113"/>
      <c r="V18" s="2121"/>
      <c r="W18" s="1520"/>
      <c r="X18" s="2113"/>
      <c r="Y18" s="2113"/>
      <c r="Z18" s="1517"/>
      <c r="AA18" s="2113"/>
      <c r="AB18" s="2121"/>
      <c r="AC18" s="1521"/>
      <c r="AD18" s="2113"/>
      <c r="AE18" s="2113"/>
      <c r="AF18" s="1522"/>
      <c r="AG18" s="1522"/>
      <c r="AH18" s="2169"/>
      <c r="AI18" s="2170"/>
      <c r="AJ18" s="1501"/>
      <c r="BM18" s="230">
        <v>14</v>
      </c>
    </row>
    <row r="19" spans="4:65" ht="14.65" customHeight="1">
      <c r="D19" s="2158"/>
      <c r="E19" s="2160"/>
      <c r="F19" s="2160"/>
      <c r="G19" s="2164"/>
      <c r="H19" s="1527"/>
      <c r="I19" s="2166"/>
      <c r="J19" s="2121"/>
      <c r="K19" s="1510"/>
      <c r="L19" s="2113"/>
      <c r="M19" s="2113"/>
      <c r="N19" s="1517"/>
      <c r="O19" s="2113"/>
      <c r="P19" s="2121"/>
      <c r="Q19" s="1518"/>
      <c r="R19" s="2113"/>
      <c r="S19" s="2113"/>
      <c r="T19" s="1519"/>
      <c r="U19" s="2113"/>
      <c r="V19" s="2121"/>
      <c r="W19" s="1520"/>
      <c r="X19" s="2113"/>
      <c r="Y19" s="2113"/>
      <c r="Z19" s="1439"/>
      <c r="AA19" s="1522"/>
      <c r="AB19" s="2169"/>
      <c r="AC19" s="2169"/>
      <c r="AD19" s="2169"/>
      <c r="AE19" s="2169"/>
      <c r="AF19" s="2169"/>
      <c r="AG19" s="2169"/>
      <c r="AH19" s="2169"/>
      <c r="AI19" s="2170"/>
      <c r="AJ19" s="1501"/>
      <c r="BM19" s="230">
        <v>14</v>
      </c>
    </row>
    <row r="20" spans="4:65" ht="14.65" customHeight="1">
      <c r="D20" s="2158"/>
      <c r="E20" s="2160"/>
      <c r="F20" s="2160"/>
      <c r="G20" s="2164"/>
      <c r="H20" s="1527"/>
      <c r="I20" s="2166"/>
      <c r="J20" s="2121"/>
      <c r="K20" s="1510"/>
      <c r="L20" s="2113"/>
      <c r="M20" s="2113"/>
      <c r="N20" s="1517"/>
      <c r="O20" s="2113"/>
      <c r="P20" s="2121"/>
      <c r="Q20" s="1518"/>
      <c r="R20" s="2113"/>
      <c r="S20" s="2113"/>
      <c r="T20" s="1523"/>
      <c r="U20" s="1524"/>
      <c r="V20" s="2169"/>
      <c r="W20" s="2169"/>
      <c r="X20" s="2169"/>
      <c r="Y20" s="2169"/>
      <c r="Z20" s="2169"/>
      <c r="AA20" s="2169"/>
      <c r="AB20" s="2169"/>
      <c r="AC20" s="2169"/>
      <c r="AD20" s="2169"/>
      <c r="AE20" s="2169"/>
      <c r="AF20" s="2169"/>
      <c r="AG20" s="2169"/>
      <c r="AH20" s="2169"/>
      <c r="AI20" s="2170"/>
      <c r="AJ20" s="1501"/>
      <c r="BM20" s="230">
        <v>14</v>
      </c>
    </row>
    <row r="21" spans="4:65" ht="11.45" customHeight="1">
      <c r="D21" s="2158"/>
      <c r="E21" s="2160"/>
      <c r="F21" s="2160"/>
      <c r="G21" s="2164"/>
      <c r="H21" s="1528"/>
      <c r="I21" s="2166"/>
      <c r="J21" s="2121"/>
      <c r="K21" s="1510"/>
      <c r="L21" s="2113"/>
      <c r="M21" s="2113"/>
      <c r="N21" s="1522"/>
      <c r="O21" s="1522"/>
      <c r="P21" s="2169"/>
      <c r="Q21" s="2169"/>
      <c r="R21" s="2169"/>
      <c r="S21" s="2169"/>
      <c r="T21" s="2169"/>
      <c r="U21" s="2169"/>
      <c r="V21" s="2169"/>
      <c r="W21" s="2169"/>
      <c r="X21" s="2169"/>
      <c r="Y21" s="2169"/>
      <c r="Z21" s="2169"/>
      <c r="AA21" s="2169"/>
      <c r="AB21" s="2169"/>
      <c r="AC21" s="2169"/>
      <c r="AD21" s="2169"/>
      <c r="AE21" s="2169"/>
      <c r="AF21" s="2169"/>
      <c r="AG21" s="2169"/>
      <c r="AH21" s="2169"/>
      <c r="AI21" s="2170"/>
      <c r="AJ21" s="1501"/>
      <c r="BM21" s="230">
        <v>11</v>
      </c>
    </row>
    <row r="22" spans="4:65" s="1481" customFormat="1" ht="11.45" customHeight="1">
      <c r="D22" s="2159"/>
      <c r="E22" s="2161"/>
      <c r="F22" s="2162"/>
      <c r="G22" s="2107"/>
      <c r="H22" s="1525"/>
      <c r="I22" s="1529"/>
      <c r="J22" s="2167"/>
      <c r="K22" s="2167"/>
      <c r="L22" s="2167"/>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8"/>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58" t="s">
        <v>89</v>
      </c>
      <c r="E23" s="2160" t="s">
        <v>295</v>
      </c>
      <c r="F23" s="2160" t="s">
        <v>298</v>
      </c>
      <c r="G23" s="2163" t="s">
        <v>19</v>
      </c>
      <c r="H23" s="1526"/>
      <c r="I23" s="2165"/>
      <c r="J23" s="2120"/>
      <c r="K23" s="1441"/>
      <c r="L23" s="2112"/>
      <c r="M23" s="2112"/>
      <c r="N23" s="1511"/>
      <c r="O23" s="2112"/>
      <c r="P23" s="2120"/>
      <c r="Q23" s="1512"/>
      <c r="R23" s="2112"/>
      <c r="S23" s="2112"/>
      <c r="T23" s="1513"/>
      <c r="U23" s="2112"/>
      <c r="V23" s="2120"/>
      <c r="W23" s="1514"/>
      <c r="X23" s="2112"/>
      <c r="Y23" s="2112"/>
      <c r="Z23" s="1511"/>
      <c r="AA23" s="2112"/>
      <c r="AB23" s="2120"/>
      <c r="AC23" s="1515"/>
      <c r="AD23" s="2112"/>
      <c r="AE23" s="2112"/>
      <c r="AF23" s="1440"/>
      <c r="AG23" s="1440"/>
      <c r="AH23" s="1516"/>
      <c r="AI23" s="1223"/>
      <c r="AJ23" s="1501"/>
      <c r="AK23" s="243" t="s">
        <v>97</v>
      </c>
      <c r="BM23" s="230">
        <v>14</v>
      </c>
    </row>
    <row r="24" spans="4:65" ht="14.65" customHeight="1">
      <c r="D24" s="2158"/>
      <c r="E24" s="2160"/>
      <c r="F24" s="2160"/>
      <c r="G24" s="2164"/>
      <c r="H24" s="1527"/>
      <c r="I24" s="2166"/>
      <c r="J24" s="2121"/>
      <c r="K24" s="1537"/>
      <c r="L24" s="2113"/>
      <c r="M24" s="2113"/>
      <c r="N24" s="1517"/>
      <c r="O24" s="2113"/>
      <c r="P24" s="2121"/>
      <c r="Q24" s="1518"/>
      <c r="R24" s="2113"/>
      <c r="S24" s="2113"/>
      <c r="T24" s="1519"/>
      <c r="U24" s="2113"/>
      <c r="V24" s="2121"/>
      <c r="W24" s="1520"/>
      <c r="X24" s="2113"/>
      <c r="Y24" s="2113"/>
      <c r="Z24" s="1517"/>
      <c r="AA24" s="2113"/>
      <c r="AB24" s="2121"/>
      <c r="AC24" s="1521"/>
      <c r="AD24" s="2113"/>
      <c r="AE24" s="2113"/>
      <c r="AF24" s="1522"/>
      <c r="AG24" s="1522"/>
      <c r="AH24" s="2169"/>
      <c r="AI24" s="2170"/>
      <c r="AJ24" s="1501"/>
      <c r="BM24" s="230">
        <v>14</v>
      </c>
    </row>
    <row r="25" spans="4:65" ht="14.65" customHeight="1">
      <c r="D25" s="2158"/>
      <c r="E25" s="2160"/>
      <c r="F25" s="2160"/>
      <c r="G25" s="2164"/>
      <c r="H25" s="1527"/>
      <c r="I25" s="2166"/>
      <c r="J25" s="2121"/>
      <c r="K25" s="1537"/>
      <c r="L25" s="2113"/>
      <c r="M25" s="2113"/>
      <c r="N25" s="1517"/>
      <c r="O25" s="2113"/>
      <c r="P25" s="2121"/>
      <c r="Q25" s="1518"/>
      <c r="R25" s="2113"/>
      <c r="S25" s="2113"/>
      <c r="T25" s="1519"/>
      <c r="U25" s="2113"/>
      <c r="V25" s="2121"/>
      <c r="W25" s="1520"/>
      <c r="X25" s="2113"/>
      <c r="Y25" s="2113"/>
      <c r="Z25" s="1439"/>
      <c r="AA25" s="1522"/>
      <c r="AB25" s="2169"/>
      <c r="AC25" s="2169"/>
      <c r="AD25" s="2169"/>
      <c r="AE25" s="2169"/>
      <c r="AF25" s="2169"/>
      <c r="AG25" s="2169"/>
      <c r="AH25" s="2169"/>
      <c r="AI25" s="2170"/>
      <c r="AJ25" s="1501"/>
      <c r="BM25" s="230">
        <v>14</v>
      </c>
    </row>
    <row r="26" spans="4:65" ht="14.65" customHeight="1">
      <c r="D26" s="2158"/>
      <c r="E26" s="2160"/>
      <c r="F26" s="2160"/>
      <c r="G26" s="2164"/>
      <c r="H26" s="1527"/>
      <c r="I26" s="2166"/>
      <c r="J26" s="2121"/>
      <c r="K26" s="1537"/>
      <c r="L26" s="2113"/>
      <c r="M26" s="2113"/>
      <c r="N26" s="1517"/>
      <c r="O26" s="2113"/>
      <c r="P26" s="2121"/>
      <c r="Q26" s="1518"/>
      <c r="R26" s="2113"/>
      <c r="S26" s="2113"/>
      <c r="T26" s="1523"/>
      <c r="U26" s="1524"/>
      <c r="V26" s="2169"/>
      <c r="W26" s="2169"/>
      <c r="X26" s="2169"/>
      <c r="Y26" s="2169"/>
      <c r="Z26" s="2169"/>
      <c r="AA26" s="2169"/>
      <c r="AB26" s="2169"/>
      <c r="AC26" s="2169"/>
      <c r="AD26" s="2169"/>
      <c r="AE26" s="2169"/>
      <c r="AF26" s="2169"/>
      <c r="AG26" s="2169"/>
      <c r="AH26" s="2169"/>
      <c r="AI26" s="2170"/>
      <c r="AJ26" s="1501"/>
      <c r="BM26" s="230">
        <v>14</v>
      </c>
    </row>
    <row r="27" spans="4:65" ht="11.45" customHeight="1">
      <c r="D27" s="2158"/>
      <c r="E27" s="2160"/>
      <c r="F27" s="2160"/>
      <c r="G27" s="2164"/>
      <c r="H27" s="1528"/>
      <c r="I27" s="2166"/>
      <c r="J27" s="2121"/>
      <c r="K27" s="1537"/>
      <c r="L27" s="2113"/>
      <c r="M27" s="2113"/>
      <c r="N27" s="1522"/>
      <c r="O27" s="1522"/>
      <c r="P27" s="2169"/>
      <c r="Q27" s="2169"/>
      <c r="R27" s="2169"/>
      <c r="S27" s="2169"/>
      <c r="T27" s="2169"/>
      <c r="U27" s="2169"/>
      <c r="V27" s="2169"/>
      <c r="W27" s="2169"/>
      <c r="X27" s="2169"/>
      <c r="Y27" s="2169"/>
      <c r="Z27" s="2169"/>
      <c r="AA27" s="2169"/>
      <c r="AB27" s="2169"/>
      <c r="AC27" s="2169"/>
      <c r="AD27" s="2169"/>
      <c r="AE27" s="2169"/>
      <c r="AF27" s="2169"/>
      <c r="AG27" s="2169"/>
      <c r="AH27" s="2169"/>
      <c r="AI27" s="2170"/>
      <c r="AJ27" s="1501"/>
      <c r="BM27" s="230">
        <v>11</v>
      </c>
    </row>
    <row r="28" spans="4:65" s="1481" customFormat="1" ht="11.45" customHeight="1">
      <c r="D28" s="2159"/>
      <c r="E28" s="2161"/>
      <c r="F28" s="2162"/>
      <c r="G28" s="2107"/>
      <c r="H28" s="1525"/>
      <c r="I28" s="1529"/>
      <c r="J28" s="2167"/>
      <c r="K28" s="2167"/>
      <c r="L28" s="2167"/>
      <c r="M28" s="2167"/>
      <c r="N28" s="2167"/>
      <c r="O28" s="2167"/>
      <c r="P28" s="2167"/>
      <c r="Q28" s="2167"/>
      <c r="R28" s="2167"/>
      <c r="S28" s="2167"/>
      <c r="T28" s="2167"/>
      <c r="U28" s="2167"/>
      <c r="V28" s="2167"/>
      <c r="W28" s="2167"/>
      <c r="X28" s="2167"/>
      <c r="Y28" s="2167"/>
      <c r="Z28" s="2167"/>
      <c r="AA28" s="2167"/>
      <c r="AB28" s="2167"/>
      <c r="AC28" s="2167"/>
      <c r="AD28" s="2167"/>
      <c r="AE28" s="2167"/>
      <c r="AF28" s="2167"/>
      <c r="AG28" s="2167"/>
      <c r="AH28" s="2167"/>
      <c r="AI28" s="2168"/>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58" t="s">
        <v>90</v>
      </c>
      <c r="E29" s="2160" t="s">
        <v>295</v>
      </c>
      <c r="F29" s="2160" t="s">
        <v>299</v>
      </c>
      <c r="G29" s="2163" t="s">
        <v>19</v>
      </c>
      <c r="H29" s="1526"/>
      <c r="I29" s="2165"/>
      <c r="J29" s="2120"/>
      <c r="K29" s="1441"/>
      <c r="L29" s="2112"/>
      <c r="M29" s="2112"/>
      <c r="N29" s="1511"/>
      <c r="O29" s="2112"/>
      <c r="P29" s="2120"/>
      <c r="Q29" s="1512"/>
      <c r="R29" s="2112"/>
      <c r="S29" s="2112"/>
      <c r="T29" s="1513"/>
      <c r="U29" s="2112"/>
      <c r="V29" s="2120"/>
      <c r="W29" s="1514"/>
      <c r="X29" s="2112"/>
      <c r="Y29" s="2112"/>
      <c r="Z29" s="1511"/>
      <c r="AA29" s="2112"/>
      <c r="AB29" s="2120"/>
      <c r="AC29" s="1515"/>
      <c r="AD29" s="2112"/>
      <c r="AE29" s="2112"/>
      <c r="AF29" s="1440"/>
      <c r="AG29" s="1440"/>
      <c r="AH29" s="1516"/>
      <c r="AI29" s="1223"/>
      <c r="AJ29" s="1501"/>
      <c r="BM29" s="230">
        <v>14</v>
      </c>
    </row>
    <row r="30" spans="4:65" ht="14.65" customHeight="1">
      <c r="D30" s="2158"/>
      <c r="E30" s="2160"/>
      <c r="F30" s="2160"/>
      <c r="G30" s="2164"/>
      <c r="H30" s="1527"/>
      <c r="I30" s="2166"/>
      <c r="J30" s="2121"/>
      <c r="K30" s="1510"/>
      <c r="L30" s="2113"/>
      <c r="M30" s="2113"/>
      <c r="N30" s="1517"/>
      <c r="O30" s="2113"/>
      <c r="P30" s="2121"/>
      <c r="Q30" s="1518"/>
      <c r="R30" s="2113"/>
      <c r="S30" s="2113"/>
      <c r="T30" s="1519"/>
      <c r="U30" s="2113"/>
      <c r="V30" s="2121"/>
      <c r="W30" s="1520"/>
      <c r="X30" s="2113"/>
      <c r="Y30" s="2113"/>
      <c r="Z30" s="1517"/>
      <c r="AA30" s="2113"/>
      <c r="AB30" s="2121"/>
      <c r="AC30" s="1521"/>
      <c r="AD30" s="2113"/>
      <c r="AE30" s="2113"/>
      <c r="AF30" s="1522"/>
      <c r="AG30" s="1522"/>
      <c r="AH30" s="2169"/>
      <c r="AI30" s="2170"/>
      <c r="AJ30" s="1501"/>
      <c r="BM30" s="230">
        <v>14</v>
      </c>
    </row>
    <row r="31" spans="4:65" ht="14.65" customHeight="1">
      <c r="D31" s="2158"/>
      <c r="E31" s="2160"/>
      <c r="F31" s="2160"/>
      <c r="G31" s="2164"/>
      <c r="H31" s="1527"/>
      <c r="I31" s="2166"/>
      <c r="J31" s="2121"/>
      <c r="K31" s="1510"/>
      <c r="L31" s="2113"/>
      <c r="M31" s="2113"/>
      <c r="N31" s="1517"/>
      <c r="O31" s="2113"/>
      <c r="P31" s="2121"/>
      <c r="Q31" s="1518"/>
      <c r="R31" s="2113"/>
      <c r="S31" s="2113"/>
      <c r="T31" s="1519"/>
      <c r="U31" s="2113"/>
      <c r="V31" s="2121"/>
      <c r="W31" s="1520"/>
      <c r="X31" s="2113"/>
      <c r="Y31" s="2113"/>
      <c r="Z31" s="1439"/>
      <c r="AA31" s="1522"/>
      <c r="AB31" s="2169"/>
      <c r="AC31" s="2169"/>
      <c r="AD31" s="2169"/>
      <c r="AE31" s="2169"/>
      <c r="AF31" s="2169"/>
      <c r="AG31" s="2169"/>
      <c r="AH31" s="2169"/>
      <c r="AI31" s="2170"/>
      <c r="AJ31" s="1501"/>
      <c r="BM31" s="230">
        <v>14</v>
      </c>
    </row>
    <row r="32" spans="4:65" ht="14.65" customHeight="1">
      <c r="D32" s="2158"/>
      <c r="E32" s="2160"/>
      <c r="F32" s="2160"/>
      <c r="G32" s="2164"/>
      <c r="H32" s="1527"/>
      <c r="I32" s="2166"/>
      <c r="J32" s="2121"/>
      <c r="K32" s="1510"/>
      <c r="L32" s="2113"/>
      <c r="M32" s="2113"/>
      <c r="N32" s="1517"/>
      <c r="O32" s="2113"/>
      <c r="P32" s="2121"/>
      <c r="Q32" s="1518"/>
      <c r="R32" s="2113"/>
      <c r="S32" s="2113"/>
      <c r="T32" s="1523"/>
      <c r="U32" s="1524"/>
      <c r="V32" s="2169"/>
      <c r="W32" s="2169"/>
      <c r="X32" s="2169"/>
      <c r="Y32" s="2169"/>
      <c r="Z32" s="2169"/>
      <c r="AA32" s="2169"/>
      <c r="AB32" s="2169"/>
      <c r="AC32" s="2169"/>
      <c r="AD32" s="2169"/>
      <c r="AE32" s="2169"/>
      <c r="AF32" s="2169"/>
      <c r="AG32" s="2169"/>
      <c r="AH32" s="2169"/>
      <c r="AI32" s="2170"/>
      <c r="AJ32" s="1501"/>
      <c r="BM32" s="230">
        <v>14</v>
      </c>
    </row>
    <row r="33" spans="4:65" ht="11.45" customHeight="1">
      <c r="D33" s="2158"/>
      <c r="E33" s="2160"/>
      <c r="F33" s="2160"/>
      <c r="G33" s="2164"/>
      <c r="H33" s="1528"/>
      <c r="I33" s="2166"/>
      <c r="J33" s="2121"/>
      <c r="K33" s="1510"/>
      <c r="L33" s="2113"/>
      <c r="M33" s="2113"/>
      <c r="N33" s="1522"/>
      <c r="O33" s="1522"/>
      <c r="P33" s="2169"/>
      <c r="Q33" s="2169"/>
      <c r="R33" s="2169"/>
      <c r="S33" s="2169"/>
      <c r="T33" s="2169"/>
      <c r="U33" s="2169"/>
      <c r="V33" s="2169"/>
      <c r="W33" s="2169"/>
      <c r="X33" s="2169"/>
      <c r="Y33" s="2169"/>
      <c r="Z33" s="2169"/>
      <c r="AA33" s="2169"/>
      <c r="AB33" s="2169"/>
      <c r="AC33" s="2169"/>
      <c r="AD33" s="2169"/>
      <c r="AE33" s="2169"/>
      <c r="AF33" s="2169"/>
      <c r="AG33" s="2169"/>
      <c r="AH33" s="2169"/>
      <c r="AI33" s="2170"/>
      <c r="AJ33" s="1501"/>
      <c r="BM33" s="230">
        <v>11</v>
      </c>
    </row>
    <row r="34" spans="4:65" s="1481" customFormat="1" ht="11.45" customHeight="1">
      <c r="D34" s="2159"/>
      <c r="E34" s="2161"/>
      <c r="F34" s="2162"/>
      <c r="G34" s="2107"/>
      <c r="H34" s="1525"/>
      <c r="I34" s="1529"/>
      <c r="J34" s="2167"/>
      <c r="K34" s="2167"/>
      <c r="L34" s="2167"/>
      <c r="M34" s="2167"/>
      <c r="N34" s="2167"/>
      <c r="O34" s="2167"/>
      <c r="P34" s="2167"/>
      <c r="Q34" s="2167"/>
      <c r="R34" s="2167"/>
      <c r="S34" s="2167"/>
      <c r="T34" s="2167"/>
      <c r="U34" s="2167"/>
      <c r="V34" s="2167"/>
      <c r="W34" s="2167"/>
      <c r="X34" s="2167"/>
      <c r="Y34" s="2167"/>
      <c r="Z34" s="2167"/>
      <c r="AA34" s="2167"/>
      <c r="AB34" s="2167"/>
      <c r="AC34" s="2167"/>
      <c r="AD34" s="2167"/>
      <c r="AE34" s="2167"/>
      <c r="AF34" s="2167"/>
      <c r="AG34" s="2167"/>
      <c r="AH34" s="2167"/>
      <c r="AI34" s="2168"/>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58" t="s">
        <v>110</v>
      </c>
      <c r="E35" s="2160" t="s">
        <v>295</v>
      </c>
      <c r="F35" s="2160" t="s">
        <v>300</v>
      </c>
      <c r="G35" s="2163" t="s">
        <v>19</v>
      </c>
      <c r="H35" s="1526"/>
      <c r="I35" s="2165"/>
      <c r="J35" s="2120"/>
      <c r="K35" s="1441"/>
      <c r="L35" s="2112"/>
      <c r="M35" s="2112"/>
      <c r="N35" s="1511"/>
      <c r="O35" s="2112"/>
      <c r="P35" s="2120"/>
      <c r="Q35" s="1512"/>
      <c r="R35" s="2112"/>
      <c r="S35" s="2112"/>
      <c r="T35" s="1513"/>
      <c r="U35" s="2112"/>
      <c r="V35" s="2120"/>
      <c r="W35" s="1514"/>
      <c r="X35" s="2112"/>
      <c r="Y35" s="2112"/>
      <c r="Z35" s="1511"/>
      <c r="AA35" s="2112"/>
      <c r="AB35" s="2120"/>
      <c r="AC35" s="1515"/>
      <c r="AD35" s="2112"/>
      <c r="AE35" s="2112"/>
      <c r="AF35" s="1440"/>
      <c r="AG35" s="1440"/>
      <c r="AH35" s="1516"/>
      <c r="AI35" s="1223"/>
      <c r="AJ35" s="1501"/>
      <c r="BM35" s="230">
        <v>14</v>
      </c>
    </row>
    <row r="36" spans="4:65" ht="14.65" customHeight="1">
      <c r="D36" s="2158"/>
      <c r="E36" s="2160"/>
      <c r="F36" s="2160"/>
      <c r="G36" s="2164"/>
      <c r="H36" s="1527"/>
      <c r="I36" s="2166"/>
      <c r="J36" s="2121"/>
      <c r="K36" s="1510"/>
      <c r="L36" s="2113"/>
      <c r="M36" s="2113"/>
      <c r="N36" s="1517"/>
      <c r="O36" s="2113"/>
      <c r="P36" s="2121"/>
      <c r="Q36" s="1518"/>
      <c r="R36" s="2113"/>
      <c r="S36" s="2113"/>
      <c r="T36" s="1519"/>
      <c r="U36" s="2113"/>
      <c r="V36" s="2121"/>
      <c r="W36" s="1520"/>
      <c r="X36" s="2113"/>
      <c r="Y36" s="2113"/>
      <c r="Z36" s="1517"/>
      <c r="AA36" s="2113"/>
      <c r="AB36" s="2121"/>
      <c r="AC36" s="1521"/>
      <c r="AD36" s="2113"/>
      <c r="AE36" s="2113"/>
      <c r="AF36" s="1522"/>
      <c r="AG36" s="1522"/>
      <c r="AH36" s="2169"/>
      <c r="AI36" s="2170"/>
      <c r="AJ36" s="1501"/>
      <c r="BM36" s="230">
        <v>14</v>
      </c>
    </row>
    <row r="37" spans="4:65" ht="14.65" customHeight="1">
      <c r="D37" s="2158"/>
      <c r="E37" s="2160"/>
      <c r="F37" s="2160"/>
      <c r="G37" s="2164"/>
      <c r="H37" s="1527"/>
      <c r="I37" s="2166"/>
      <c r="J37" s="2121"/>
      <c r="K37" s="1510"/>
      <c r="L37" s="2113"/>
      <c r="M37" s="2113"/>
      <c r="N37" s="1517"/>
      <c r="O37" s="2113"/>
      <c r="P37" s="2121"/>
      <c r="Q37" s="1518"/>
      <c r="R37" s="2113"/>
      <c r="S37" s="2113"/>
      <c r="T37" s="1519"/>
      <c r="U37" s="2113"/>
      <c r="V37" s="2121"/>
      <c r="W37" s="1520"/>
      <c r="X37" s="2113"/>
      <c r="Y37" s="2113"/>
      <c r="Z37" s="1439"/>
      <c r="AA37" s="1522"/>
      <c r="AB37" s="2169"/>
      <c r="AC37" s="2169"/>
      <c r="AD37" s="2169"/>
      <c r="AE37" s="2169"/>
      <c r="AF37" s="2169"/>
      <c r="AG37" s="2169"/>
      <c r="AH37" s="2169"/>
      <c r="AI37" s="2170"/>
      <c r="AJ37" s="1501"/>
      <c r="BM37" s="230">
        <v>14</v>
      </c>
    </row>
    <row r="38" spans="4:65" ht="14.65" customHeight="1">
      <c r="D38" s="2158"/>
      <c r="E38" s="2160"/>
      <c r="F38" s="2160"/>
      <c r="G38" s="2164"/>
      <c r="H38" s="1527"/>
      <c r="I38" s="2166"/>
      <c r="J38" s="2121"/>
      <c r="K38" s="1510"/>
      <c r="L38" s="2113"/>
      <c r="M38" s="2113"/>
      <c r="N38" s="1517"/>
      <c r="O38" s="2113"/>
      <c r="P38" s="2121"/>
      <c r="Q38" s="1518"/>
      <c r="R38" s="2113"/>
      <c r="S38" s="2113"/>
      <c r="T38" s="1523"/>
      <c r="U38" s="1524"/>
      <c r="V38" s="2169"/>
      <c r="W38" s="2169"/>
      <c r="X38" s="2169"/>
      <c r="Y38" s="2169"/>
      <c r="Z38" s="2169"/>
      <c r="AA38" s="2169"/>
      <c r="AB38" s="2169"/>
      <c r="AC38" s="2169"/>
      <c r="AD38" s="2169"/>
      <c r="AE38" s="2169"/>
      <c r="AF38" s="2169"/>
      <c r="AG38" s="2169"/>
      <c r="AH38" s="2169"/>
      <c r="AI38" s="2170"/>
      <c r="AJ38" s="1501"/>
      <c r="BM38" s="230">
        <v>14</v>
      </c>
    </row>
    <row r="39" spans="4:65" ht="11.45" customHeight="1">
      <c r="D39" s="2158"/>
      <c r="E39" s="2160"/>
      <c r="F39" s="2160"/>
      <c r="G39" s="2164"/>
      <c r="H39" s="1528"/>
      <c r="I39" s="2166"/>
      <c r="J39" s="2121"/>
      <c r="K39" s="1510"/>
      <c r="L39" s="2113"/>
      <c r="M39" s="2113"/>
      <c r="N39" s="1522"/>
      <c r="O39" s="1522"/>
      <c r="P39" s="2169"/>
      <c r="Q39" s="2169"/>
      <c r="R39" s="2169"/>
      <c r="S39" s="2169"/>
      <c r="T39" s="2169"/>
      <c r="U39" s="2169"/>
      <c r="V39" s="2169"/>
      <c r="W39" s="2169"/>
      <c r="X39" s="2169"/>
      <c r="Y39" s="2169"/>
      <c r="Z39" s="2169"/>
      <c r="AA39" s="2169"/>
      <c r="AB39" s="2169"/>
      <c r="AC39" s="2169"/>
      <c r="AD39" s="2169"/>
      <c r="AE39" s="2169"/>
      <c r="AF39" s="2169"/>
      <c r="AG39" s="2169"/>
      <c r="AH39" s="2169"/>
      <c r="AI39" s="2170"/>
      <c r="AJ39" s="1501"/>
      <c r="BM39" s="230">
        <v>11</v>
      </c>
    </row>
    <row r="40" spans="4:65" s="1481" customFormat="1" ht="11.45" customHeight="1">
      <c r="D40" s="2158"/>
      <c r="E40" s="2160"/>
      <c r="F40" s="2171"/>
      <c r="G40" s="2107"/>
      <c r="H40" s="1525"/>
      <c r="I40" s="1529"/>
      <c r="J40" s="2167"/>
      <c r="K40" s="2167"/>
      <c r="L40" s="2167"/>
      <c r="M40" s="2167"/>
      <c r="N40" s="2167"/>
      <c r="O40" s="2167"/>
      <c r="P40" s="2167"/>
      <c r="Q40" s="2167"/>
      <c r="R40" s="2167"/>
      <c r="S40" s="2167"/>
      <c r="T40" s="2167"/>
      <c r="U40" s="2167"/>
      <c r="V40" s="2167"/>
      <c r="W40" s="2167"/>
      <c r="X40" s="2167"/>
      <c r="Y40" s="2167"/>
      <c r="Z40" s="2167"/>
      <c r="AA40" s="2167"/>
      <c r="AB40" s="2167"/>
      <c r="AC40" s="2167"/>
      <c r="AD40" s="2167"/>
      <c r="AE40" s="2167"/>
      <c r="AF40" s="2167"/>
      <c r="AG40" s="2167"/>
      <c r="AH40" s="2167"/>
      <c r="AI40" s="2168"/>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414" t="s">
        <v>1902</v>
      </c>
      <c r="C2" s="2414"/>
      <c r="D2" s="2414"/>
      <c r="E2" s="205"/>
      <c r="F2" s="28">
        <v>22</v>
      </c>
    </row>
    <row r="3" spans="1:6" ht="3" customHeight="1">
      <c r="F3" s="28">
        <v>3</v>
      </c>
    </row>
    <row r="4" spans="1:6" ht="23.25" customHeight="1">
      <c r="B4" s="2023" t="s">
        <v>1903</v>
      </c>
      <c r="C4" s="320" t="s">
        <v>1904</v>
      </c>
      <c r="D4" s="320" t="s">
        <v>1905</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1906</v>
      </c>
    </row>
    <row r="4" spans="1:80" s="201" customFormat="1" ht="15" customHeight="1">
      <c r="C4" s="1743"/>
      <c r="D4" s="52"/>
      <c r="E4" s="314"/>
    </row>
    <row r="6" spans="1:80" s="1742" customFormat="1" ht="17.25" customHeight="1">
      <c r="A6" s="1742" t="s">
        <v>1907</v>
      </c>
    </row>
    <row r="8" spans="1:80" s="201" customFormat="1" ht="17.25" customHeight="1">
      <c r="C8" s="1744"/>
      <c r="D8" s="52"/>
      <c r="E8" s="53"/>
    </row>
    <row r="11" spans="1:80" s="1742" customFormat="1" ht="17.25" customHeight="1">
      <c r="A11" s="1742" t="s">
        <v>1908</v>
      </c>
    </row>
    <row r="13" spans="1:80" s="1746" customFormat="1" ht="15" customHeight="1">
      <c r="A13" s="2197">
        <v>1</v>
      </c>
      <c r="B13" s="1087"/>
      <c r="C13" s="732" t="s">
        <v>120</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97"/>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97"/>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1909</v>
      </c>
    </row>
    <row r="19" spans="1:80" s="1776" customFormat="1" ht="15" customHeight="1">
      <c r="A19" s="1808"/>
      <c r="B19" s="1293">
        <v>1</v>
      </c>
      <c r="C19" s="1293"/>
      <c r="D19" s="731" t="s">
        <v>120</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1910</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120</v>
      </c>
      <c r="D23" s="2103" t="s">
        <v>108</v>
      </c>
      <c r="E23" s="2104"/>
      <c r="F23" s="2102" t="s">
        <v>19</v>
      </c>
      <c r="G23" s="2451"/>
      <c r="H23" s="2091">
        <v>1</v>
      </c>
      <c r="I23" s="2453" t="str">
        <f>IF(U23="","",INDEX(TERRITORY_MR_LIST,MATCH(U23,TERRITORY_LIST_ID,0)))</f>
        <v/>
      </c>
      <c r="J23" s="2102" t="s">
        <v>19</v>
      </c>
      <c r="K23" s="763"/>
      <c r="L23" s="1709" t="s">
        <v>108</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103"/>
      <c r="E24" s="2105"/>
      <c r="F24" s="2102"/>
      <c r="G24" s="2452"/>
      <c r="H24" s="2091"/>
      <c r="I24" s="2454"/>
      <c r="J24" s="2102"/>
      <c r="K24" s="358"/>
      <c r="L24" s="114"/>
      <c r="M24" s="544" t="s">
        <v>123</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103"/>
      <c r="E25" s="2106"/>
      <c r="F25" s="2102"/>
      <c r="G25" s="358"/>
      <c r="H25" s="114"/>
      <c r="I25" s="517" t="s">
        <v>124</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1911</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55" t="s">
        <v>120</v>
      </c>
      <c r="H29" s="2072">
        <v>1</v>
      </c>
      <c r="I29" s="2456" t="str">
        <f>IF(U29="","",INDEX(TERRITORY_MR_LIST,MATCH(U29,TERRITORY_LIST_ID,0)))</f>
        <v/>
      </c>
      <c r="J29" s="2102" t="s">
        <v>19</v>
      </c>
      <c r="K29" s="763"/>
      <c r="L29" s="1709" t="s">
        <v>108</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55"/>
      <c r="H30" s="2072"/>
      <c r="I30" s="2456"/>
      <c r="J30" s="2102"/>
      <c r="K30" s="358"/>
      <c r="L30" s="114"/>
      <c r="M30" s="544" t="s">
        <v>123</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1912</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120</v>
      </c>
      <c r="L34" s="1656" t="s">
        <v>108</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1913</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1914</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1915</v>
      </c>
    </row>
    <row r="46" spans="1:38" ht="11.25" customHeight="1"/>
    <row r="47" spans="1:38" s="392" customFormat="1" ht="24" customHeight="1">
      <c r="A47" s="2173" t="s">
        <v>315</v>
      </c>
      <c r="B47" s="439"/>
      <c r="C47" s="2184"/>
      <c r="D47" s="382" t="str">
        <f>A47</f>
        <v>5.1</v>
      </c>
      <c r="E47" s="379" t="s">
        <v>316</v>
      </c>
      <c r="F47" s="1899" t="s">
        <v>308</v>
      </c>
      <c r="G47" s="381" t="s">
        <v>317</v>
      </c>
      <c r="H47" s="412"/>
      <c r="I47" s="783"/>
    </row>
    <row r="48" spans="1:38" s="392" customFormat="1" ht="22.5" customHeight="1">
      <c r="A48" s="2173"/>
      <c r="B48" s="439"/>
      <c r="C48" s="2184"/>
      <c r="D48" s="377" t="str">
        <f>D47&amp;".1"</f>
        <v>5.1.1</v>
      </c>
      <c r="E48" s="376" t="s">
        <v>318</v>
      </c>
      <c r="F48" s="1900" t="s">
        <v>22</v>
      </c>
      <c r="G48" s="411"/>
      <c r="H48" s="412"/>
      <c r="I48" s="783"/>
    </row>
    <row r="49" spans="1:45" s="392" customFormat="1" ht="22.5" customHeight="1">
      <c r="A49" s="2173"/>
      <c r="B49" s="439"/>
      <c r="C49" s="2184"/>
      <c r="D49" s="377" t="str">
        <f>D47&amp;".2"</f>
        <v>5.1.2</v>
      </c>
      <c r="E49" s="376" t="s">
        <v>319</v>
      </c>
      <c r="F49" s="1659" t="s">
        <v>22</v>
      </c>
      <c r="G49" s="381" t="s">
        <v>320</v>
      </c>
      <c r="H49" s="412"/>
      <c r="I49" s="783"/>
    </row>
    <row r="50" spans="1:45" s="392" customFormat="1" ht="22.5" customHeight="1">
      <c r="A50" s="2173"/>
      <c r="B50" s="439"/>
      <c r="C50" s="2184"/>
      <c r="D50" s="377" t="str">
        <f>D47&amp;".3"</f>
        <v>5.1.3</v>
      </c>
      <c r="E50" s="376" t="s">
        <v>321</v>
      </c>
      <c r="F50" s="1900" t="s">
        <v>22</v>
      </c>
      <c r="G50" s="411"/>
      <c r="H50" s="412"/>
      <c r="I50" s="783"/>
    </row>
    <row r="51" spans="1:45" s="392" customFormat="1" ht="22.5" customHeight="1">
      <c r="A51" s="2173"/>
      <c r="B51" s="439"/>
      <c r="C51" s="2184"/>
      <c r="D51" s="377" t="str">
        <f>D47&amp;".4"</f>
        <v>5.1.4</v>
      </c>
      <c r="E51" s="376" t="s">
        <v>322</v>
      </c>
      <c r="F51" s="1900" t="s">
        <v>22</v>
      </c>
      <c r="G51" s="381" t="s">
        <v>323</v>
      </c>
      <c r="H51" s="412"/>
      <c r="I51" s="783"/>
    </row>
    <row r="54" spans="1:45" s="1742" customFormat="1" ht="17.25" customHeight="1">
      <c r="A54" s="1742" t="s">
        <v>1916</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394</v>
      </c>
      <c r="Q56" s="453" t="s">
        <v>395</v>
      </c>
      <c r="R56" s="454" t="s">
        <v>396</v>
      </c>
      <c r="S56" s="1563" t="s">
        <v>397</v>
      </c>
      <c r="T56" s="1563"/>
      <c r="U56" s="1563"/>
      <c r="V56" s="1563"/>
    </row>
    <row r="58" spans="1:45" s="1742" customFormat="1" ht="11.25" customHeight="1">
      <c r="A58" s="1742" t="s">
        <v>1917</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383</v>
      </c>
      <c r="AQ60" s="1551" t="s">
        <v>383</v>
      </c>
      <c r="AR60" s="1563"/>
      <c r="AS60" s="1563"/>
    </row>
    <row r="62" spans="1:45" s="1742" customFormat="1" ht="11.25" customHeight="1">
      <c r="A62" s="1742" t="s">
        <v>1918</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1919</v>
      </c>
    </row>
    <row r="68" spans="1:30" s="1562" customFormat="1" ht="14.25" customHeight="1">
      <c r="A68" s="280"/>
      <c r="B68" s="1087"/>
      <c r="C68" s="313"/>
      <c r="D68" s="1737"/>
      <c r="E68" s="816"/>
      <c r="F68" s="1751"/>
      <c r="G68" s="28"/>
      <c r="I68" s="1551"/>
      <c r="J68" s="1551"/>
    </row>
    <row r="70" spans="1:30" s="1742" customFormat="1" ht="11.25" customHeight="1">
      <c r="A70" s="1742" t="s">
        <v>1920</v>
      </c>
    </row>
    <row r="72" spans="1:30" s="1562" customFormat="1" ht="27" customHeight="1">
      <c r="A72" s="1093"/>
      <c r="B72" s="1093"/>
      <c r="C72" s="1093"/>
      <c r="D72" s="1087"/>
      <c r="E72" s="1753"/>
      <c r="F72" s="2415"/>
      <c r="G72" s="2416"/>
      <c r="H72" s="2417" t="s">
        <v>65</v>
      </c>
      <c r="I72" s="2419"/>
      <c r="J72" s="2421"/>
      <c r="K72" s="2423"/>
      <c r="L72" s="2435"/>
      <c r="M72" s="2435"/>
      <c r="N72" s="2459"/>
      <c r="O72" s="2459"/>
      <c r="P72" s="2460" t="e">
        <f>DATEDIF(DATEVALUE(N72),DATEVALUE(O72),"y")&amp;"г. "&amp;DATEDIF(DATEVALUE(N72),DATEVALUE(O72),"ym")&amp;"мес. "&amp;DATEVALUE(O72)-DATE(YEAR(DATEVALUE(O72)),MONTH(DATEVALUE(O72)),1)&amp;"дн. "</f>
        <v>#VALUE!</v>
      </c>
      <c r="Q72" s="2436"/>
      <c r="R72" s="2436"/>
      <c r="S72" s="2436"/>
      <c r="T72" s="2421"/>
      <c r="U72" s="2436"/>
      <c r="V72" s="2436"/>
      <c r="W72" s="2436"/>
      <c r="X72" s="2421"/>
      <c r="Y72" s="2457" t="s">
        <v>65</v>
      </c>
      <c r="Z72" s="1735"/>
      <c r="AA72" s="1719">
        <v>1</v>
      </c>
      <c r="AB72" s="1169"/>
      <c r="AD72" s="1563" t="s">
        <v>1921</v>
      </c>
    </row>
    <row r="73" spans="1:30" s="1562" customFormat="1" ht="10.5" customHeight="1">
      <c r="A73" s="1093"/>
      <c r="B73" s="1093"/>
      <c r="C73" s="1093"/>
      <c r="D73" s="1087"/>
      <c r="E73" s="877"/>
      <c r="F73" s="2415"/>
      <c r="G73" s="2416"/>
      <c r="H73" s="2418"/>
      <c r="I73" s="2420"/>
      <c r="J73" s="2422"/>
      <c r="K73" s="2423"/>
      <c r="L73" s="2435"/>
      <c r="M73" s="2435"/>
      <c r="N73" s="2459"/>
      <c r="O73" s="2459"/>
      <c r="P73" s="2460"/>
      <c r="Q73" s="2436"/>
      <c r="R73" s="2436"/>
      <c r="S73" s="2436"/>
      <c r="T73" s="2422"/>
      <c r="U73" s="2436"/>
      <c r="V73" s="2436"/>
      <c r="W73" s="2436"/>
      <c r="X73" s="2422"/>
      <c r="Y73" s="2458"/>
      <c r="Z73" s="284"/>
      <c r="AA73" s="509"/>
      <c r="AB73" s="589" t="s">
        <v>1922</v>
      </c>
    </row>
    <row r="75" spans="1:30" s="1742" customFormat="1" ht="11.25" customHeight="1">
      <c r="A75" s="1742" t="s">
        <v>1923</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1921</v>
      </c>
    </row>
    <row r="79" spans="1:30" s="1742" customFormat="1" ht="11.25" customHeight="1">
      <c r="A79" s="1742" t="s">
        <v>1924</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63"/>
      <c r="G82" s="2375"/>
      <c r="H82" s="2466" t="s">
        <v>378</v>
      </c>
      <c r="I82" s="2467"/>
      <c r="J82" s="2427"/>
      <c r="K82" s="2427"/>
      <c r="L82" s="2461"/>
      <c r="M82" s="2216"/>
      <c r="N82" s="1959"/>
      <c r="O82" s="1958"/>
      <c r="P82" s="1959"/>
      <c r="Q82" s="1959"/>
      <c r="R82" s="1959"/>
      <c r="S82" s="1959"/>
      <c r="T82" s="1959"/>
      <c r="U82" s="1959"/>
      <c r="V82" s="1959"/>
      <c r="W82" s="1959"/>
      <c r="X82" s="1959"/>
      <c r="Y82" s="1959"/>
      <c r="Z82" s="1959"/>
      <c r="AA82" s="1959"/>
      <c r="AB82" s="1959"/>
      <c r="AC82" s="1959"/>
      <c r="AD82" s="1959"/>
      <c r="AE82" s="1959"/>
      <c r="AF82" s="2465"/>
      <c r="AG82" s="2461"/>
      <c r="AH82" s="2461"/>
      <c r="AI82" s="2465"/>
      <c r="AJ82" s="2461"/>
      <c r="AK82" s="2461"/>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63"/>
      <c r="G83" s="2375"/>
      <c r="H83" s="2466"/>
      <c r="I83" s="2467"/>
      <c r="J83" s="2427"/>
      <c r="K83" s="2427"/>
      <c r="L83" s="2461"/>
      <c r="M83" s="2216"/>
      <c r="N83" s="2468"/>
      <c r="O83" s="2469"/>
      <c r="P83" s="2424"/>
      <c r="Q83" s="2427"/>
      <c r="R83" s="2427"/>
      <c r="S83" s="2427"/>
      <c r="T83" s="2427"/>
      <c r="U83" s="2427"/>
      <c r="V83" s="2427"/>
      <c r="W83" s="2427"/>
      <c r="X83" s="2427"/>
      <c r="Y83" s="2427"/>
      <c r="Z83" s="1960"/>
      <c r="AA83" s="1961"/>
      <c r="AB83" s="1961"/>
      <c r="AC83" s="1962"/>
      <c r="AD83" s="1962"/>
      <c r="AE83" s="1963"/>
      <c r="AF83" s="2465"/>
      <c r="AG83" s="2461"/>
      <c r="AH83" s="2461"/>
      <c r="AI83" s="2465"/>
      <c r="AJ83" s="2461"/>
      <c r="AK83" s="2461"/>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63"/>
      <c r="G84" s="2375"/>
      <c r="H84" s="2466"/>
      <c r="I84" s="2467"/>
      <c r="J84" s="2427"/>
      <c r="K84" s="2427"/>
      <c r="L84" s="2461"/>
      <c r="M84" s="2216"/>
      <c r="N84" s="2468"/>
      <c r="O84" s="2469"/>
      <c r="P84" s="2425"/>
      <c r="Q84" s="2427"/>
      <c r="R84" s="2427"/>
      <c r="S84" s="2427"/>
      <c r="T84" s="2427"/>
      <c r="U84" s="2427"/>
      <c r="V84" s="2427"/>
      <c r="W84" s="2427"/>
      <c r="X84" s="2427"/>
      <c r="Y84" s="2427"/>
      <c r="Z84" s="1964"/>
      <c r="AA84" s="1965"/>
      <c r="AB84" s="1966"/>
      <c r="AC84" s="1967"/>
      <c r="AD84" s="1966"/>
      <c r="AE84" s="1967"/>
      <c r="AF84" s="2465"/>
      <c r="AG84" s="2461"/>
      <c r="AH84" s="2461"/>
      <c r="AI84" s="2465"/>
      <c r="AJ84" s="2461"/>
      <c r="AK84" s="2461"/>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63"/>
      <c r="G85" s="2375"/>
      <c r="H85" s="2466"/>
      <c r="I85" s="2467"/>
      <c r="J85" s="2427"/>
      <c r="K85" s="2427"/>
      <c r="L85" s="2461"/>
      <c r="M85" s="2216"/>
      <c r="N85" s="2468"/>
      <c r="O85" s="2469"/>
      <c r="P85" s="2426"/>
      <c r="Q85" s="2427"/>
      <c r="R85" s="2427"/>
      <c r="S85" s="2427"/>
      <c r="T85" s="2427"/>
      <c r="U85" s="2427"/>
      <c r="V85" s="2427"/>
      <c r="W85" s="2427"/>
      <c r="X85" s="2427"/>
      <c r="Y85" s="2427"/>
      <c r="Z85" s="1960"/>
      <c r="AA85" s="1961"/>
      <c r="AB85" s="1968"/>
      <c r="AC85" s="1962"/>
      <c r="AD85" s="1962"/>
      <c r="AE85" s="1969"/>
      <c r="AF85" s="2465"/>
      <c r="AG85" s="2461"/>
      <c r="AH85" s="2461"/>
      <c r="AI85" s="2465"/>
      <c r="AJ85" s="2461"/>
      <c r="AK85" s="2461"/>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63"/>
      <c r="G86" s="2375"/>
      <c r="H86" s="2466"/>
      <c r="I86" s="2467"/>
      <c r="J86" s="2427"/>
      <c r="K86" s="2427"/>
      <c r="L86" s="2461"/>
      <c r="M86" s="2216"/>
      <c r="N86" s="1961"/>
      <c r="O86" s="1961"/>
      <c r="P86" s="1968"/>
      <c r="Q86" s="1961"/>
      <c r="R86" s="1961"/>
      <c r="S86" s="1961"/>
      <c r="T86" s="1961"/>
      <c r="U86" s="1961"/>
      <c r="V86" s="1961"/>
      <c r="W86" s="1961"/>
      <c r="X86" s="1961"/>
      <c r="Y86" s="1961"/>
      <c r="Z86" s="1961"/>
      <c r="AA86" s="1961"/>
      <c r="AB86" s="1961"/>
      <c r="AC86" s="1961"/>
      <c r="AD86" s="1961"/>
      <c r="AE86" s="1970"/>
      <c r="AF86" s="2465"/>
      <c r="AG86" s="2461"/>
      <c r="AH86" s="2461"/>
      <c r="AI86" s="2465"/>
      <c r="AJ86" s="2461"/>
      <c r="AK86" s="2461"/>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64"/>
      <c r="G87" s="1117"/>
      <c r="H87" s="1117"/>
      <c r="I87" s="2462" t="s">
        <v>1925</v>
      </c>
      <c r="J87" s="2462"/>
      <c r="K87" s="2462"/>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1926</v>
      </c>
    </row>
    <row r="91" spans="1:58" s="1562" customFormat="1" ht="11.25" customHeight="1">
      <c r="A91" s="1093"/>
      <c r="B91" s="1093"/>
      <c r="C91" s="1093"/>
      <c r="D91" s="1087"/>
      <c r="E91" s="1097"/>
      <c r="F91" s="1755"/>
      <c r="G91" s="1756"/>
      <c r="H91" s="1756"/>
      <c r="I91" s="1691"/>
      <c r="J91" s="1691"/>
      <c r="K91" s="1757"/>
      <c r="L91" s="1691"/>
      <c r="M91" s="1756"/>
      <c r="N91" s="2428"/>
      <c r="O91" s="2429">
        <v>1</v>
      </c>
      <c r="P91" s="2430" t="s">
        <v>19</v>
      </c>
      <c r="Q91" s="2339" t="s">
        <v>22</v>
      </c>
      <c r="R91" s="2339" t="s">
        <v>22</v>
      </c>
      <c r="S91" s="2339" t="s">
        <v>22</v>
      </c>
      <c r="T91" s="2339" t="s">
        <v>22</v>
      </c>
      <c r="U91" s="2339" t="s">
        <v>22</v>
      </c>
      <c r="V91" s="2339" t="s">
        <v>22</v>
      </c>
      <c r="W91" s="2339" t="s">
        <v>22</v>
      </c>
      <c r="X91" s="2339" t="s">
        <v>22</v>
      </c>
      <c r="Y91" s="233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428"/>
      <c r="O92" s="2429"/>
      <c r="P92" s="2431"/>
      <c r="Q92" s="2339"/>
      <c r="R92" s="2339"/>
      <c r="S92" s="2433"/>
      <c r="T92" s="2339"/>
      <c r="U92" s="2339"/>
      <c r="V92" s="2339"/>
      <c r="W92" s="2339"/>
      <c r="X92" s="2339"/>
      <c r="Y92" s="233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428"/>
      <c r="O93" s="2429"/>
      <c r="P93" s="2432"/>
      <c r="Q93" s="2339"/>
      <c r="R93" s="2339"/>
      <c r="S93" s="2433"/>
      <c r="T93" s="2339"/>
      <c r="U93" s="2339"/>
      <c r="V93" s="2339"/>
      <c r="W93" s="2339"/>
      <c r="X93" s="2339"/>
      <c r="Y93" s="2339"/>
      <c r="Z93" s="1102"/>
      <c r="AA93" s="1103"/>
      <c r="AB93" s="1168" t="s">
        <v>1927</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1928</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1929</v>
      </c>
    </row>
    <row r="101" spans="1:184" s="1562" customFormat="1" ht="11.25" customHeight="1">
      <c r="A101" s="1093"/>
      <c r="B101" s="1093"/>
      <c r="C101" s="1093"/>
      <c r="D101" s="1087"/>
      <c r="E101" s="1097"/>
      <c r="F101" s="1755"/>
      <c r="G101" s="1756"/>
      <c r="H101" s="2375" t="s">
        <v>108</v>
      </c>
      <c r="I101" s="2482"/>
      <c r="J101" s="2408"/>
      <c r="K101" s="2480"/>
      <c r="L101" s="2102" t="s">
        <v>19</v>
      </c>
      <c r="M101" s="2103"/>
      <c r="N101" s="1909"/>
      <c r="O101" s="1104" t="s">
        <v>378</v>
      </c>
      <c r="P101" s="1105"/>
      <c r="Q101" s="1105"/>
      <c r="R101" s="1105"/>
      <c r="S101" s="1105"/>
      <c r="T101" s="1105"/>
      <c r="U101" s="1105"/>
      <c r="V101" s="1105"/>
      <c r="W101" s="1105"/>
      <c r="X101" s="1105"/>
      <c r="Y101" s="1105"/>
      <c r="Z101" s="1105"/>
      <c r="AA101" s="1105"/>
      <c r="AB101" s="1105"/>
      <c r="AC101" s="1105"/>
      <c r="AD101" s="1105"/>
      <c r="AE101" s="1105"/>
      <c r="AF101" s="2483"/>
      <c r="AG101" s="2484"/>
      <c r="AH101" s="2484"/>
      <c r="AI101" s="2483"/>
      <c r="AJ101" s="2484"/>
      <c r="AK101" s="2484"/>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75"/>
      <c r="I102" s="2482"/>
      <c r="J102" s="2408"/>
      <c r="K102" s="2480"/>
      <c r="L102" s="2102"/>
      <c r="M102" s="2103"/>
      <c r="N102" s="2428"/>
      <c r="O102" s="2485">
        <v>1</v>
      </c>
      <c r="P102" s="2430" t="s">
        <v>19</v>
      </c>
      <c r="Q102" s="2339" t="s">
        <v>22</v>
      </c>
      <c r="R102" s="2339" t="s">
        <v>22</v>
      </c>
      <c r="S102" s="2339" t="s">
        <v>22</v>
      </c>
      <c r="T102" s="2339" t="s">
        <v>22</v>
      </c>
      <c r="U102" s="2339" t="s">
        <v>22</v>
      </c>
      <c r="V102" s="2339" t="s">
        <v>22</v>
      </c>
      <c r="W102" s="2339" t="s">
        <v>22</v>
      </c>
      <c r="X102" s="2339" t="s">
        <v>22</v>
      </c>
      <c r="Y102" s="2339"/>
      <c r="Z102" s="1102"/>
      <c r="AA102" s="1103"/>
      <c r="AB102" s="1103"/>
      <c r="AC102" s="1107"/>
      <c r="AD102" s="1107"/>
      <c r="AE102" s="1108"/>
      <c r="AF102" s="2483"/>
      <c r="AG102" s="2484"/>
      <c r="AH102" s="2484"/>
      <c r="AI102" s="2483"/>
      <c r="AJ102" s="2484"/>
      <c r="AK102" s="2484"/>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75"/>
      <c r="I103" s="2482"/>
      <c r="J103" s="2408"/>
      <c r="K103" s="2480"/>
      <c r="L103" s="2102"/>
      <c r="M103" s="2103"/>
      <c r="N103" s="2428"/>
      <c r="O103" s="2485"/>
      <c r="P103" s="2431"/>
      <c r="Q103" s="2339"/>
      <c r="R103" s="2339"/>
      <c r="S103" s="2433"/>
      <c r="T103" s="2339"/>
      <c r="U103" s="2339"/>
      <c r="V103" s="2339"/>
      <c r="W103" s="2339"/>
      <c r="X103" s="2339"/>
      <c r="Y103" s="2339"/>
      <c r="Z103" s="1754"/>
      <c r="AA103" s="1721">
        <v>1</v>
      </c>
      <c r="AB103" s="1106"/>
      <c r="AC103" s="1096"/>
      <c r="AD103" s="1106">
        <f>AB103</f>
        <v>0</v>
      </c>
      <c r="AE103" s="1096"/>
      <c r="AF103" s="2483"/>
      <c r="AG103" s="2484"/>
      <c r="AH103" s="2484"/>
      <c r="AI103" s="2483"/>
      <c r="AJ103" s="2484"/>
      <c r="AK103" s="2484"/>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75"/>
      <c r="I104" s="2482"/>
      <c r="J104" s="2408"/>
      <c r="K104" s="2480"/>
      <c r="L104" s="2102"/>
      <c r="M104" s="2103"/>
      <c r="N104" s="2428"/>
      <c r="O104" s="2485"/>
      <c r="P104" s="2432"/>
      <c r="Q104" s="2339"/>
      <c r="R104" s="2339"/>
      <c r="S104" s="2433"/>
      <c r="T104" s="2339"/>
      <c r="U104" s="2339"/>
      <c r="V104" s="2339"/>
      <c r="W104" s="2339"/>
      <c r="X104" s="2339"/>
      <c r="Y104" s="2339"/>
      <c r="Z104" s="1102"/>
      <c r="AA104" s="1103"/>
      <c r="AB104" s="1168" t="s">
        <v>1927</v>
      </c>
      <c r="AC104" s="1107"/>
      <c r="AD104" s="1107"/>
      <c r="AE104" s="1109"/>
      <c r="AF104" s="2483"/>
      <c r="AG104" s="2484"/>
      <c r="AH104" s="2484"/>
      <c r="AI104" s="2483"/>
      <c r="AJ104" s="2484"/>
      <c r="AK104" s="2484"/>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75"/>
      <c r="I105" s="2482"/>
      <c r="J105" s="2408"/>
      <c r="K105" s="2480"/>
      <c r="L105" s="2102"/>
      <c r="M105" s="2103"/>
      <c r="N105" s="1102"/>
      <c r="O105" s="1103"/>
      <c r="P105" s="1095" t="s">
        <v>1930</v>
      </c>
      <c r="Q105" s="1103"/>
      <c r="R105" s="1103"/>
      <c r="S105" s="1103"/>
      <c r="T105" s="1103"/>
      <c r="U105" s="1103"/>
      <c r="V105" s="1103"/>
      <c r="W105" s="1103"/>
      <c r="X105" s="1103"/>
      <c r="Y105" s="1103"/>
      <c r="Z105" s="1103"/>
      <c r="AA105" s="1103"/>
      <c r="AB105" s="1103"/>
      <c r="AC105" s="1103"/>
      <c r="AD105" s="1103"/>
      <c r="AE105" s="1110"/>
      <c r="AF105" s="2483"/>
      <c r="AG105" s="2484"/>
      <c r="AH105" s="2484"/>
      <c r="AI105" s="2483"/>
      <c r="AJ105" s="2484"/>
      <c r="AK105" s="2484"/>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1931</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1932</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1933</v>
      </c>
    </row>
    <row r="115" spans="1:83" s="1776" customFormat="1" ht="15" hidden="1" customHeight="1">
      <c r="A115" s="560"/>
      <c r="B115" s="561"/>
      <c r="C115" s="561"/>
      <c r="D115" s="2320" t="s">
        <v>108</v>
      </c>
      <c r="E115" s="2317" t="s">
        <v>104</v>
      </c>
      <c r="F115" s="2318"/>
      <c r="G115" s="2319"/>
      <c r="H115" s="2313" t="str">
        <f>IF(A115="","",INDEX(DIFFERENTIATION_UNMERGE_VD,MATCH(A115,DIFFERENTIATION_ID_DIFF,0)))</f>
        <v/>
      </c>
      <c r="I115" s="2313"/>
      <c r="J115" s="2313"/>
      <c r="K115" s="2313"/>
      <c r="L115" s="2313"/>
      <c r="M115" s="2313"/>
      <c r="N115" s="2313"/>
      <c r="O115" s="2313"/>
      <c r="P115" s="2313"/>
      <c r="Q115" s="2313"/>
      <c r="R115" s="2313"/>
      <c r="S115" s="656"/>
      <c r="T115" s="653"/>
      <c r="U115" s="562"/>
      <c r="V115" s="562"/>
      <c r="W115" s="563"/>
      <c r="X115" s="563"/>
      <c r="Y115" s="563"/>
      <c r="Z115" s="563"/>
      <c r="AA115" s="564"/>
      <c r="AB115" s="565"/>
      <c r="AC115" s="2316"/>
      <c r="AD115" s="566"/>
      <c r="AE115" s="567" t="s">
        <v>22</v>
      </c>
      <c r="AF115" s="567"/>
      <c r="AG115" s="568" t="s">
        <v>611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hidden="1" customHeight="1">
      <c r="A116" s="560"/>
      <c r="B116" s="561"/>
      <c r="C116" s="561"/>
      <c r="D116" s="2321"/>
      <c r="E116" s="2317" t="s">
        <v>566</v>
      </c>
      <c r="F116" s="2318"/>
      <c r="G116" s="2319"/>
      <c r="H116" s="2313" t="str">
        <f>IF(A115="","",INDEX(DIFFERENTIATION_UNMERGE_AREA,MATCH(A115,DIFFERENTIATION_ID_DIFF,0)))</f>
        <v/>
      </c>
      <c r="I116" s="2313"/>
      <c r="J116" s="2313"/>
      <c r="K116" s="2313"/>
      <c r="L116" s="2313"/>
      <c r="M116" s="2313"/>
      <c r="N116" s="2313"/>
      <c r="O116" s="2313"/>
      <c r="P116" s="2313"/>
      <c r="Q116" s="2313"/>
      <c r="R116" s="2313"/>
      <c r="S116" s="656"/>
      <c r="T116" s="653"/>
      <c r="U116" s="562"/>
      <c r="V116" s="562"/>
      <c r="W116" s="563"/>
      <c r="X116" s="563"/>
      <c r="Y116" s="563"/>
      <c r="Z116" s="563"/>
      <c r="AA116" s="564"/>
      <c r="AB116" s="565"/>
      <c r="AC116" s="231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hidden="1" customHeight="1">
      <c r="A117" s="560"/>
      <c r="B117" s="561"/>
      <c r="C117" s="561"/>
      <c r="D117" s="2321"/>
      <c r="E117" s="2317" t="s">
        <v>567</v>
      </c>
      <c r="F117" s="2318"/>
      <c r="G117" s="2319"/>
      <c r="H117" s="2313" t="str">
        <f>IF(A115="","",INDEX(DIFFERENTIATION_UNMERGE_SYSTEM,MATCH(A115,DIFFERENTIATION_ID_DIFF,0)))</f>
        <v/>
      </c>
      <c r="I117" s="2313"/>
      <c r="J117" s="2313"/>
      <c r="K117" s="2313"/>
      <c r="L117" s="2313"/>
      <c r="M117" s="2313"/>
      <c r="N117" s="2313"/>
      <c r="O117" s="2313"/>
      <c r="P117" s="2313"/>
      <c r="Q117" s="2313"/>
      <c r="R117" s="2313"/>
      <c r="S117" s="656"/>
      <c r="T117" s="653"/>
      <c r="U117" s="562"/>
      <c r="V117" s="562"/>
      <c r="W117" s="563"/>
      <c r="X117" s="563"/>
      <c r="Y117" s="563"/>
      <c r="Z117" s="563"/>
      <c r="AA117" s="564"/>
      <c r="AB117" s="565"/>
      <c r="AC117" s="231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hidden="1" customHeight="1">
      <c r="A118" s="1733"/>
      <c r="B118" s="1087"/>
      <c r="C118" s="349"/>
      <c r="D118" s="2321"/>
      <c r="E118" s="2315" t="s">
        <v>612</v>
      </c>
      <c r="F118" s="2315"/>
      <c r="G118" s="2315"/>
      <c r="H118" s="2315"/>
      <c r="I118" s="2315"/>
      <c r="J118" s="2315"/>
      <c r="K118" s="2315"/>
      <c r="L118" s="2315"/>
      <c r="M118" s="2315"/>
      <c r="N118" s="2315"/>
      <c r="O118" s="2315"/>
      <c r="P118" s="2315"/>
      <c r="Q118" s="495">
        <f>SUMIF(T119:T120,"i",Q119:Q120)</f>
        <v>0</v>
      </c>
      <c r="R118" s="947"/>
      <c r="S118" s="1725" t="s">
        <v>613</v>
      </c>
      <c r="T118" s="654" t="s">
        <v>614</v>
      </c>
      <c r="U118" s="2223">
        <v>1</v>
      </c>
      <c r="V118" s="2223" t="s">
        <v>577</v>
      </c>
      <c r="W118" s="1087"/>
      <c r="X118" s="1087"/>
      <c r="Y118" s="1087"/>
      <c r="Z118" s="1087"/>
      <c r="AA118" s="1563"/>
      <c r="AB118" s="1087"/>
      <c r="AC118" s="231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321"/>
      <c r="E119" s="572"/>
      <c r="F119" s="572">
        <v>0</v>
      </c>
      <c r="G119" s="572"/>
      <c r="H119" s="572"/>
      <c r="I119" s="572"/>
      <c r="J119" s="572"/>
      <c r="K119" s="572"/>
      <c r="L119" s="572"/>
      <c r="M119" s="572"/>
      <c r="N119" s="572"/>
      <c r="O119" s="572"/>
      <c r="P119" s="572"/>
      <c r="Q119" s="572"/>
      <c r="R119" s="572"/>
      <c r="S119" s="573"/>
      <c r="T119" s="655"/>
      <c r="U119" s="2223"/>
      <c r="V119" s="2223"/>
      <c r="W119" s="1563"/>
      <c r="X119" s="1563"/>
      <c r="Y119" s="1563"/>
      <c r="Z119" s="1563"/>
      <c r="AA119" s="1563"/>
      <c r="AB119" s="1087"/>
      <c r="AC119" s="231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hidden="1" customHeight="1">
      <c r="A120" s="1733"/>
      <c r="B120" s="1087"/>
      <c r="C120" s="349"/>
      <c r="D120" s="2321"/>
      <c r="E120" s="586" t="s">
        <v>22</v>
      </c>
      <c r="F120" s="1095" t="s">
        <v>22</v>
      </c>
      <c r="G120" s="1095" t="s">
        <v>617</v>
      </c>
      <c r="H120" s="588" t="s">
        <v>22</v>
      </c>
      <c r="I120" s="588"/>
      <c r="J120" s="588"/>
      <c r="K120" s="588"/>
      <c r="L120" s="588"/>
      <c r="M120" s="588"/>
      <c r="N120" s="588"/>
      <c r="O120" s="588"/>
      <c r="P120" s="588"/>
      <c r="Q120" s="588"/>
      <c r="R120" s="589"/>
      <c r="S120" s="590"/>
      <c r="T120" s="655"/>
      <c r="U120" s="2223"/>
      <c r="V120" s="2223"/>
      <c r="W120" s="1087"/>
      <c r="X120" s="1087"/>
      <c r="Y120" s="1087"/>
      <c r="Z120" s="1087"/>
      <c r="AA120" s="1563"/>
      <c r="AB120" s="1087"/>
      <c r="AC120" s="231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hidden="1" customHeight="1">
      <c r="A121" s="1733"/>
      <c r="B121" s="1087"/>
      <c r="C121" s="349"/>
      <c r="D121" s="2321"/>
      <c r="E121" s="2315" t="s">
        <v>615</v>
      </c>
      <c r="F121" s="2315"/>
      <c r="G121" s="2315"/>
      <c r="H121" s="2315"/>
      <c r="I121" s="2315"/>
      <c r="J121" s="2315"/>
      <c r="K121" s="2315"/>
      <c r="L121" s="2315"/>
      <c r="M121" s="2315"/>
      <c r="N121" s="2315"/>
      <c r="O121" s="2315"/>
      <c r="P121" s="2315"/>
      <c r="Q121" s="495">
        <f>SUMIF(T122:T123,"i",Q122:Q123)</f>
        <v>0</v>
      </c>
      <c r="R121" s="947"/>
      <c r="S121" s="1725" t="s">
        <v>616</v>
      </c>
      <c r="T121" s="654" t="s">
        <v>614</v>
      </c>
      <c r="U121" s="2223">
        <v>1</v>
      </c>
      <c r="V121" s="2223" t="s">
        <v>577</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321"/>
      <c r="E122" s="572"/>
      <c r="F122" s="572">
        <v>0</v>
      </c>
      <c r="G122" s="572"/>
      <c r="H122" s="572"/>
      <c r="I122" s="572"/>
      <c r="J122" s="572"/>
      <c r="K122" s="572"/>
      <c r="L122" s="572"/>
      <c r="M122" s="572"/>
      <c r="N122" s="572"/>
      <c r="O122" s="572"/>
      <c r="P122" s="572"/>
      <c r="Q122" s="572"/>
      <c r="R122" s="572"/>
      <c r="S122" s="573"/>
      <c r="T122" s="655"/>
      <c r="U122" s="2223"/>
      <c r="V122" s="2223"/>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hidden="1" customHeight="1">
      <c r="A123" s="1733"/>
      <c r="B123" s="1087"/>
      <c r="C123" s="349"/>
      <c r="D123" s="2322"/>
      <c r="E123" s="586" t="s">
        <v>22</v>
      </c>
      <c r="F123" s="1095" t="s">
        <v>22</v>
      </c>
      <c r="G123" s="1095" t="s">
        <v>617</v>
      </c>
      <c r="H123" s="588" t="s">
        <v>22</v>
      </c>
      <c r="I123" s="588"/>
      <c r="J123" s="588"/>
      <c r="K123" s="588"/>
      <c r="L123" s="588"/>
      <c r="M123" s="588"/>
      <c r="N123" s="588"/>
      <c r="O123" s="588"/>
      <c r="P123" s="588"/>
      <c r="Q123" s="588"/>
      <c r="R123" s="589"/>
      <c r="S123" s="590"/>
      <c r="T123" s="655"/>
      <c r="U123" s="2223"/>
      <c r="V123" s="2223"/>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1934</v>
      </c>
    </row>
    <row r="127" spans="1:83" s="1776" customFormat="1" ht="15" customHeight="1">
      <c r="A127" s="560"/>
      <c r="B127" s="561"/>
      <c r="C127" s="561"/>
      <c r="D127" s="2320" t="s">
        <v>108</v>
      </c>
      <c r="E127" s="2317" t="s">
        <v>104</v>
      </c>
      <c r="F127" s="2318"/>
      <c r="G127" s="2319"/>
      <c r="H127" s="2313" t="str">
        <f>IF(A127="","",INDEX(DIFFERENTIATION_UNMERGE_VD,MATCH(A127,DIFFERENTIATION_ID_DIFF,0)))</f>
        <v/>
      </c>
      <c r="I127" s="2313"/>
      <c r="J127" s="2313"/>
      <c r="K127" s="2313"/>
      <c r="L127" s="2313"/>
      <c r="M127" s="2313"/>
      <c r="N127" s="2313"/>
      <c r="O127" s="2313"/>
      <c r="P127" s="2313"/>
      <c r="Q127" s="2313"/>
      <c r="R127" s="2313"/>
      <c r="S127" s="656"/>
      <c r="T127" s="653"/>
      <c r="U127" s="562"/>
      <c r="V127" s="562"/>
      <c r="W127" s="563"/>
      <c r="X127" s="563"/>
      <c r="Y127" s="563"/>
      <c r="Z127" s="563"/>
      <c r="AA127" s="564"/>
      <c r="AB127" s="565"/>
      <c r="AC127" s="2316"/>
      <c r="AD127" s="566"/>
      <c r="AE127" s="567" t="s">
        <v>22</v>
      </c>
      <c r="AF127" s="567"/>
      <c r="AG127" s="568" t="s">
        <v>611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321"/>
      <c r="E128" s="2317" t="s">
        <v>566</v>
      </c>
      <c r="F128" s="2318"/>
      <c r="G128" s="2319"/>
      <c r="H128" s="2313" t="str">
        <f>IF(A127="","",INDEX(DIFFERENTIATION_UNMERGE_AREA,MATCH(A127,DIFFERENTIATION_ID_DIFF,0)))</f>
        <v/>
      </c>
      <c r="I128" s="2313"/>
      <c r="J128" s="2313"/>
      <c r="K128" s="2313"/>
      <c r="L128" s="2313"/>
      <c r="M128" s="2313"/>
      <c r="N128" s="2313"/>
      <c r="O128" s="2313"/>
      <c r="P128" s="2313"/>
      <c r="Q128" s="2313"/>
      <c r="R128" s="2313"/>
      <c r="S128" s="656"/>
      <c r="T128" s="653"/>
      <c r="U128" s="562"/>
      <c r="V128" s="562"/>
      <c r="W128" s="563"/>
      <c r="X128" s="563"/>
      <c r="Y128" s="563"/>
      <c r="Z128" s="563"/>
      <c r="AA128" s="564"/>
      <c r="AB128" s="565"/>
      <c r="AC128" s="231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321"/>
      <c r="E129" s="2317" t="s">
        <v>567</v>
      </c>
      <c r="F129" s="2318"/>
      <c r="G129" s="2319"/>
      <c r="H129" s="2313" t="str">
        <f>IF(A127="","",INDEX(DIFFERENTIATION_UNMERGE_SYSTEM,MATCH(A127,DIFFERENTIATION_ID_DIFF,0)))</f>
        <v/>
      </c>
      <c r="I129" s="2313"/>
      <c r="J129" s="2313"/>
      <c r="K129" s="2313"/>
      <c r="L129" s="2313"/>
      <c r="M129" s="2313"/>
      <c r="N129" s="2313"/>
      <c r="O129" s="2313"/>
      <c r="P129" s="2313"/>
      <c r="Q129" s="2313"/>
      <c r="R129" s="2313"/>
      <c r="S129" s="656"/>
      <c r="T129" s="653"/>
      <c r="U129" s="562"/>
      <c r="V129" s="562"/>
      <c r="W129" s="563"/>
      <c r="X129" s="563"/>
      <c r="Y129" s="563"/>
      <c r="Z129" s="563"/>
      <c r="AA129" s="564"/>
      <c r="AB129" s="565"/>
      <c r="AC129" s="231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321"/>
      <c r="E130" s="2315" t="s">
        <v>612</v>
      </c>
      <c r="F130" s="2315"/>
      <c r="G130" s="2315"/>
      <c r="H130" s="2315"/>
      <c r="I130" s="2315"/>
      <c r="J130" s="2315"/>
      <c r="K130" s="2315"/>
      <c r="L130" s="2315"/>
      <c r="M130" s="2315"/>
      <c r="N130" s="2315"/>
      <c r="O130" s="2315"/>
      <c r="P130" s="2315"/>
      <c r="Q130" s="495">
        <f>SUMIF(T131:T132,"i",Q131:Q132)</f>
        <v>0</v>
      </c>
      <c r="R130" s="947"/>
      <c r="S130" s="1725" t="s">
        <v>613</v>
      </c>
      <c r="T130" s="654" t="s">
        <v>614</v>
      </c>
      <c r="U130" s="2223">
        <v>1</v>
      </c>
      <c r="V130" s="2223" t="s">
        <v>577</v>
      </c>
      <c r="W130" s="1087"/>
      <c r="X130" s="1087"/>
      <c r="Y130" s="1087"/>
      <c r="Z130" s="1087"/>
      <c r="AA130" s="1563"/>
      <c r="AB130" s="1087"/>
      <c r="AC130" s="231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321"/>
      <c r="E131" s="572"/>
      <c r="F131" s="572">
        <v>0</v>
      </c>
      <c r="G131" s="572"/>
      <c r="H131" s="572"/>
      <c r="I131" s="572"/>
      <c r="J131" s="572"/>
      <c r="K131" s="572"/>
      <c r="L131" s="572"/>
      <c r="M131" s="572"/>
      <c r="N131" s="572"/>
      <c r="O131" s="572"/>
      <c r="P131" s="572"/>
      <c r="Q131" s="572"/>
      <c r="R131" s="572"/>
      <c r="S131" s="573"/>
      <c r="T131" s="655"/>
      <c r="U131" s="2223"/>
      <c r="V131" s="2223"/>
      <c r="W131" s="1563"/>
      <c r="X131" s="1563"/>
      <c r="Y131" s="1563"/>
      <c r="Z131" s="1563"/>
      <c r="AA131" s="1563"/>
      <c r="AB131" s="1087"/>
      <c r="AC131" s="231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321"/>
      <c r="E132" s="586" t="s">
        <v>22</v>
      </c>
      <c r="F132" s="1095" t="s">
        <v>22</v>
      </c>
      <c r="G132" s="1095" t="s">
        <v>617</v>
      </c>
      <c r="H132" s="588" t="s">
        <v>22</v>
      </c>
      <c r="I132" s="588"/>
      <c r="J132" s="588"/>
      <c r="K132" s="588"/>
      <c r="L132" s="588"/>
      <c r="M132" s="588"/>
      <c r="N132" s="588"/>
      <c r="O132" s="588"/>
      <c r="P132" s="588"/>
      <c r="Q132" s="588"/>
      <c r="R132" s="589"/>
      <c r="S132" s="590"/>
      <c r="T132" s="655"/>
      <c r="U132" s="2223"/>
      <c r="V132" s="2223"/>
      <c r="W132" s="1087"/>
      <c r="X132" s="1087"/>
      <c r="Y132" s="1087"/>
      <c r="Z132" s="1087"/>
      <c r="AA132" s="1563"/>
      <c r="AB132" s="1087"/>
      <c r="AC132" s="231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321"/>
      <c r="E133" s="969"/>
      <c r="F133" s="969"/>
      <c r="G133" s="969"/>
      <c r="H133" s="969"/>
      <c r="I133" s="969"/>
      <c r="J133" s="969"/>
      <c r="K133" s="969"/>
      <c r="L133" s="969"/>
      <c r="M133" s="969"/>
      <c r="N133" s="969"/>
      <c r="O133" s="969"/>
      <c r="P133" s="969"/>
      <c r="Q133" s="970"/>
      <c r="R133" s="971"/>
      <c r="S133" s="972"/>
      <c r="T133" s="654" t="s">
        <v>614</v>
      </c>
      <c r="U133" s="2223">
        <v>1</v>
      </c>
      <c r="V133" s="2223" t="s">
        <v>577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321"/>
      <c r="E134" s="572"/>
      <c r="F134" s="572"/>
      <c r="G134" s="572"/>
      <c r="H134" s="572"/>
      <c r="I134" s="572"/>
      <c r="J134" s="572"/>
      <c r="K134" s="572"/>
      <c r="L134" s="572"/>
      <c r="M134" s="572"/>
      <c r="N134" s="572"/>
      <c r="O134" s="572"/>
      <c r="P134" s="572"/>
      <c r="Q134" s="572"/>
      <c r="R134" s="572"/>
      <c r="S134" s="573"/>
      <c r="T134" s="655"/>
      <c r="U134" s="2223"/>
      <c r="V134" s="222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322"/>
      <c r="E135" s="973"/>
      <c r="F135" s="974"/>
      <c r="G135" s="974"/>
      <c r="H135" s="975"/>
      <c r="I135" s="975"/>
      <c r="J135" s="975"/>
      <c r="K135" s="975"/>
      <c r="L135" s="975"/>
      <c r="M135" s="975"/>
      <c r="N135" s="975"/>
      <c r="O135" s="975"/>
      <c r="P135" s="975"/>
      <c r="Q135" s="975"/>
      <c r="R135" s="876"/>
      <c r="S135" s="976"/>
      <c r="T135" s="655"/>
      <c r="U135" s="2223"/>
      <c r="V135" s="222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1935</v>
      </c>
    </row>
    <row r="139" spans="1:83" s="1776" customFormat="1" ht="45" customHeight="1">
      <c r="A139" s="1733"/>
      <c r="B139" s="1087"/>
      <c r="C139" s="349"/>
      <c r="D139" s="28"/>
      <c r="E139" s="2442"/>
      <c r="F139" s="2103" t="s">
        <v>108</v>
      </c>
      <c r="G139" s="2445" t="s">
        <v>22</v>
      </c>
      <c r="H139" s="226"/>
      <c r="I139" s="574" t="s">
        <v>108</v>
      </c>
      <c r="J139" s="1734" t="s">
        <v>1936</v>
      </c>
      <c r="K139" s="575" t="s">
        <v>548</v>
      </c>
      <c r="L139" s="2186" t="s">
        <v>548</v>
      </c>
      <c r="M139" s="2148"/>
      <c r="N139" s="575" t="s">
        <v>548</v>
      </c>
      <c r="O139" s="575" t="s">
        <v>548</v>
      </c>
      <c r="P139" s="575" t="s">
        <v>548</v>
      </c>
      <c r="Q139" s="576">
        <f>SUM(Q140:Q142)</f>
        <v>0</v>
      </c>
      <c r="R139" s="576">
        <f>IF(R136=0,0,(Q136/R136)*100)</f>
        <v>0</v>
      </c>
      <c r="S139" s="2160"/>
      <c r="T139" s="654" t="s">
        <v>614</v>
      </c>
      <c r="U139" s="28"/>
      <c r="V139" s="28"/>
      <c r="AC139" s="28"/>
    </row>
    <row r="140" spans="1:83" s="1776" customFormat="1" ht="11.25" customHeight="1">
      <c r="A140" s="1733"/>
      <c r="B140" s="1087"/>
      <c r="C140" s="349"/>
      <c r="D140" s="28"/>
      <c r="E140" s="2443"/>
      <c r="F140" s="2103"/>
      <c r="G140" s="2445"/>
      <c r="H140" s="2091"/>
      <c r="I140" s="2375" t="s">
        <v>1024</v>
      </c>
      <c r="J140" s="2440"/>
      <c r="K140" s="2441"/>
      <c r="L140" s="577"/>
      <c r="M140" s="578" t="s">
        <v>108</v>
      </c>
      <c r="N140" s="1722"/>
      <c r="O140" s="579"/>
      <c r="P140" s="580"/>
      <c r="Q140" s="579"/>
      <c r="R140" s="581">
        <v>0</v>
      </c>
      <c r="S140" s="2160"/>
      <c r="T140" s="654"/>
      <c r="U140" s="28"/>
      <c r="V140" s="28"/>
      <c r="AC140" s="28"/>
    </row>
    <row r="141" spans="1:83" s="1776" customFormat="1" ht="11.25" customHeight="1">
      <c r="A141" s="1733"/>
      <c r="B141" s="1087"/>
      <c r="C141" s="349"/>
      <c r="D141" s="28"/>
      <c r="E141" s="2443"/>
      <c r="F141" s="2103"/>
      <c r="G141" s="2445"/>
      <c r="H141" s="2091"/>
      <c r="I141" s="2375"/>
      <c r="J141" s="2440"/>
      <c r="K141" s="2437"/>
      <c r="L141" s="582"/>
      <c r="M141" s="583"/>
      <c r="N141" s="584" t="s">
        <v>1937</v>
      </c>
      <c r="O141" s="584"/>
      <c r="P141" s="584"/>
      <c r="Q141" s="584"/>
      <c r="R141" s="585"/>
      <c r="S141" s="2160"/>
      <c r="T141" s="654"/>
      <c r="U141" s="28"/>
      <c r="V141" s="28"/>
      <c r="AC141" s="28"/>
    </row>
    <row r="142" spans="1:83" s="1776" customFormat="1" ht="11.25" customHeight="1">
      <c r="A142" s="1733"/>
      <c r="B142" s="1087"/>
      <c r="C142" s="349"/>
      <c r="D142" s="28"/>
      <c r="E142" s="2444"/>
      <c r="F142" s="2103"/>
      <c r="G142" s="2446"/>
      <c r="H142" s="582" t="s">
        <v>22</v>
      </c>
      <c r="I142" s="583"/>
      <c r="J142" s="584" t="s">
        <v>1938</v>
      </c>
      <c r="K142" s="584"/>
      <c r="L142" s="584"/>
      <c r="M142" s="584"/>
      <c r="N142" s="584"/>
      <c r="O142" s="584"/>
      <c r="P142" s="584"/>
      <c r="Q142" s="584"/>
      <c r="R142" s="585"/>
      <c r="S142" s="2160"/>
      <c r="T142" s="654"/>
      <c r="U142" s="28"/>
      <c r="V142" s="28"/>
      <c r="AC142" s="28"/>
    </row>
    <row r="147" spans="1:43" s="1776" customFormat="1" ht="11.25" customHeight="1">
      <c r="A147" s="1733"/>
      <c r="B147" s="1087"/>
      <c r="C147" s="349"/>
      <c r="D147" s="28"/>
      <c r="E147" s="1756"/>
      <c r="F147" s="1756"/>
      <c r="G147" s="1756"/>
      <c r="H147" s="2091"/>
      <c r="I147" s="2375" t="s">
        <v>1024</v>
      </c>
      <c r="J147" s="2440"/>
      <c r="K147" s="2441"/>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91"/>
      <c r="I148" s="2375"/>
      <c r="J148" s="2440"/>
      <c r="K148" s="2437"/>
      <c r="L148" s="582"/>
      <c r="M148" s="583"/>
      <c r="N148" s="584" t="s">
        <v>1937</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1939</v>
      </c>
    </row>
    <row r="153" spans="1:43" ht="17.25" customHeight="1">
      <c r="G153" s="1765"/>
      <c r="H153" s="1765"/>
      <c r="I153" s="1765"/>
      <c r="M153" s="1761"/>
    </row>
    <row r="154" spans="1:43" s="1779" customFormat="1" ht="17.25" customHeight="1">
      <c r="A154" s="1766"/>
      <c r="C154" s="1768"/>
      <c r="D154" s="2434"/>
      <c r="E154" s="2114"/>
      <c r="F154" s="2126"/>
      <c r="G154" s="2438"/>
      <c r="H154" s="2434"/>
      <c r="I154" s="2434">
        <v>1</v>
      </c>
      <c r="J154" s="2449"/>
      <c r="K154" s="2163" t="s">
        <v>65</v>
      </c>
      <c r="L154" s="2103"/>
      <c r="M154" s="2103" t="s">
        <v>108</v>
      </c>
      <c r="N154" s="2447" t="str">
        <f>IF(Z154="","",INDEX(TERRITORY_MR_LIST,MATCH(Z154,TERRITORY_LIST_ID,0)))</f>
        <v/>
      </c>
      <c r="O154" s="2163" t="s">
        <v>65</v>
      </c>
      <c r="P154" s="2103"/>
      <c r="Q154" s="2103" t="s">
        <v>108</v>
      </c>
      <c r="R154" s="2437" t="s">
        <v>22</v>
      </c>
      <c r="S154" s="2102"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34"/>
      <c r="E155" s="2114"/>
      <c r="F155" s="2127"/>
      <c r="G155" s="2438"/>
      <c r="H155" s="2434"/>
      <c r="I155" s="2434"/>
      <c r="J155" s="2449"/>
      <c r="K155" s="2164"/>
      <c r="L155" s="2103"/>
      <c r="M155" s="2103"/>
      <c r="N155" s="2447"/>
      <c r="O155" s="2164"/>
      <c r="P155" s="2103"/>
      <c r="Q155" s="2103"/>
      <c r="R155" s="2437"/>
      <c r="S155" s="2102"/>
      <c r="T155" s="254"/>
      <c r="U155" s="255"/>
      <c r="V155" s="255" t="s">
        <v>416</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100"/>
      <c r="E156" s="2115"/>
      <c r="F156" s="2127"/>
      <c r="G156" s="2439"/>
      <c r="H156" s="2100"/>
      <c r="I156" s="2100"/>
      <c r="J156" s="2450"/>
      <c r="K156" s="2164"/>
      <c r="L156" s="2100"/>
      <c r="M156" s="2100"/>
      <c r="N156" s="2448"/>
      <c r="O156" s="2107"/>
      <c r="P156" s="254"/>
      <c r="Q156" s="255"/>
      <c r="R156" s="255" t="s">
        <v>417</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100"/>
      <c r="E157" s="2115"/>
      <c r="F157" s="2127"/>
      <c r="G157" s="2439"/>
      <c r="H157" s="2100"/>
      <c r="I157" s="2100"/>
      <c r="J157" s="2450"/>
      <c r="K157" s="2107"/>
      <c r="L157" s="254"/>
      <c r="M157" s="255"/>
      <c r="N157" s="255" t="s">
        <v>418</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100"/>
      <c r="E158" s="2115"/>
      <c r="F158" s="2128"/>
      <c r="G158" s="2439"/>
      <c r="H158" s="254"/>
      <c r="I158" s="255"/>
      <c r="J158" s="255" t="s">
        <v>450</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34"/>
      <c r="I160" s="2434">
        <v>1</v>
      </c>
      <c r="J160" s="2449"/>
      <c r="K160" s="2163" t="s">
        <v>65</v>
      </c>
      <c r="L160" s="2103"/>
      <c r="M160" s="2103" t="s">
        <v>108</v>
      </c>
      <c r="N160" s="2447" t="str">
        <f>IF(Z160="","",INDEX(TERRITORY_MR_LIST,MATCH(Z160,TERRITORY_LIST_ID,0)))</f>
        <v/>
      </c>
      <c r="O160" s="2163" t="s">
        <v>65</v>
      </c>
      <c r="P160" s="2103"/>
      <c r="Q160" s="2103" t="s">
        <v>108</v>
      </c>
      <c r="R160" s="2437" t="s">
        <v>22</v>
      </c>
      <c r="S160" s="2102"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34"/>
      <c r="I161" s="2434"/>
      <c r="J161" s="2449"/>
      <c r="K161" s="2164"/>
      <c r="L161" s="2103"/>
      <c r="M161" s="2103"/>
      <c r="N161" s="2447"/>
      <c r="O161" s="2164"/>
      <c r="P161" s="2103"/>
      <c r="Q161" s="2103"/>
      <c r="R161" s="2437"/>
      <c r="S161" s="2102"/>
      <c r="T161" s="254"/>
      <c r="U161" s="255"/>
      <c r="V161" s="255" t="s">
        <v>416</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100"/>
      <c r="I162" s="2100"/>
      <c r="J162" s="2450"/>
      <c r="K162" s="2164"/>
      <c r="L162" s="2100"/>
      <c r="M162" s="2100"/>
      <c r="N162" s="2448"/>
      <c r="O162" s="2107"/>
      <c r="P162" s="254"/>
      <c r="Q162" s="255"/>
      <c r="R162" s="255" t="s">
        <v>417</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100"/>
      <c r="I163" s="2100"/>
      <c r="J163" s="2450"/>
      <c r="K163" s="2107"/>
      <c r="L163" s="254"/>
      <c r="M163" s="255"/>
      <c r="N163" s="255" t="s">
        <v>418</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03"/>
      <c r="M165" s="2103" t="s">
        <v>108</v>
      </c>
      <c r="N165" s="2447" t="str">
        <f>IF(Z165="","",INDEX(TERRITORY_MR_LIST,MATCH(Z165,TERRITORY_LIST_ID,0)))</f>
        <v/>
      </c>
      <c r="O165" s="2163" t="s">
        <v>65</v>
      </c>
      <c r="P165" s="2103"/>
      <c r="Q165" s="2103" t="s">
        <v>108</v>
      </c>
      <c r="R165" s="2437" t="s">
        <v>22</v>
      </c>
      <c r="S165" s="2102"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103"/>
      <c r="M166" s="2103"/>
      <c r="N166" s="2447"/>
      <c r="O166" s="2164"/>
      <c r="P166" s="2103"/>
      <c r="Q166" s="2103"/>
      <c r="R166" s="2437"/>
      <c r="S166" s="2102"/>
      <c r="T166" s="254"/>
      <c r="U166" s="255"/>
      <c r="V166" s="255" t="s">
        <v>416</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100"/>
      <c r="M167" s="2100"/>
      <c r="N167" s="2448"/>
      <c r="O167" s="2107"/>
      <c r="P167" s="254"/>
      <c r="Q167" s="255"/>
      <c r="R167" s="255" t="s">
        <v>417</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03"/>
      <c r="Q169" s="2103" t="s">
        <v>108</v>
      </c>
      <c r="R169" s="2437" t="s">
        <v>22</v>
      </c>
      <c r="S169" s="2102"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103"/>
      <c r="Q170" s="2103"/>
      <c r="R170" s="2437"/>
      <c r="S170" s="2102"/>
      <c r="T170" s="254"/>
      <c r="U170" s="255"/>
      <c r="V170" s="255" t="s">
        <v>416</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1940</v>
      </c>
    </row>
    <row r="175" spans="1:43" ht="17.25" customHeight="1">
      <c r="G175" s="1765"/>
      <c r="H175" s="1765"/>
      <c r="I175" s="1765"/>
      <c r="M175" s="1761"/>
    </row>
    <row r="176" spans="1:43" s="1779" customFormat="1" ht="17.25" customHeight="1">
      <c r="A176" s="1766"/>
      <c r="C176" s="1768"/>
      <c r="D176" s="2434"/>
      <c r="E176" s="2114"/>
      <c r="F176" s="2126"/>
      <c r="G176" s="2438"/>
      <c r="H176" s="2434"/>
      <c r="I176" s="2434">
        <v>1</v>
      </c>
      <c r="J176" s="2449"/>
      <c r="K176" s="2163" t="s">
        <v>65</v>
      </c>
      <c r="L176" s="2103"/>
      <c r="M176" s="2103" t="s">
        <v>108</v>
      </c>
      <c r="N176" s="2447" t="str">
        <f>IF(Z176="","",INDEX(TERRITORY_MR_LIST,MATCH(Z176,TERRITORY_LIST_ID,0)))</f>
        <v/>
      </c>
      <c r="O176" s="2163" t="s">
        <v>65</v>
      </c>
      <c r="P176" s="2103"/>
      <c r="Q176" s="2103" t="s">
        <v>108</v>
      </c>
      <c r="R176" s="2437" t="s">
        <v>22</v>
      </c>
      <c r="S176" s="2338" t="s">
        <v>19</v>
      </c>
      <c r="T176" s="1729"/>
      <c r="U176" s="1729" t="s">
        <v>108</v>
      </c>
      <c r="V176" s="1361"/>
      <c r="W176" s="2449"/>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34"/>
      <c r="E177" s="2114"/>
      <c r="F177" s="2127"/>
      <c r="G177" s="2438"/>
      <c r="H177" s="2434"/>
      <c r="I177" s="2434"/>
      <c r="J177" s="2449"/>
      <c r="K177" s="2164"/>
      <c r="L177" s="2103"/>
      <c r="M177" s="2103"/>
      <c r="N177" s="2447"/>
      <c r="O177" s="2164"/>
      <c r="P177" s="2103"/>
      <c r="Q177" s="2103"/>
      <c r="R177" s="2437"/>
      <c r="S177" s="2338"/>
      <c r="T177" s="1362"/>
      <c r="U177" s="1363"/>
      <c r="V177" s="1363"/>
      <c r="W177" s="2449"/>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100"/>
      <c r="E178" s="2115"/>
      <c r="F178" s="2127"/>
      <c r="G178" s="2439"/>
      <c r="H178" s="2100"/>
      <c r="I178" s="2100"/>
      <c r="J178" s="2450"/>
      <c r="K178" s="2164"/>
      <c r="L178" s="2100"/>
      <c r="M178" s="2100"/>
      <c r="N178" s="2448"/>
      <c r="O178" s="2107"/>
      <c r="P178" s="254"/>
      <c r="Q178" s="255"/>
      <c r="R178" s="255" t="s">
        <v>417</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100"/>
      <c r="E179" s="2115"/>
      <c r="F179" s="2127"/>
      <c r="G179" s="2439"/>
      <c r="H179" s="2100"/>
      <c r="I179" s="2100"/>
      <c r="J179" s="2450"/>
      <c r="K179" s="2107"/>
      <c r="L179" s="254"/>
      <c r="M179" s="255"/>
      <c r="N179" s="255" t="s">
        <v>418</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100"/>
      <c r="E180" s="2115"/>
      <c r="F180" s="2128"/>
      <c r="G180" s="2439"/>
      <c r="H180" s="254"/>
      <c r="I180" s="255"/>
      <c r="J180" s="255" t="s">
        <v>450</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34"/>
      <c r="I182" s="2434">
        <v>1</v>
      </c>
      <c r="J182" s="2449"/>
      <c r="K182" s="2163" t="s">
        <v>65</v>
      </c>
      <c r="L182" s="2103"/>
      <c r="M182" s="2103" t="s">
        <v>108</v>
      </c>
      <c r="N182" s="2447" t="str">
        <f>IF(Z182="","",INDEX(TERRITORY_MR_LIST,MATCH(Z182,TERRITORY_LIST_ID,0)))</f>
        <v/>
      </c>
      <c r="O182" s="2163" t="s">
        <v>65</v>
      </c>
      <c r="P182" s="2103"/>
      <c r="Q182" s="2103" t="s">
        <v>108</v>
      </c>
      <c r="R182" s="2437" t="s">
        <v>22</v>
      </c>
      <c r="S182" s="2338" t="s">
        <v>19</v>
      </c>
      <c r="T182" s="1729"/>
      <c r="U182" s="1729" t="s">
        <v>108</v>
      </c>
      <c r="V182" s="1361"/>
      <c r="W182" s="2449"/>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34"/>
      <c r="I183" s="2434"/>
      <c r="J183" s="2449"/>
      <c r="K183" s="2164"/>
      <c r="L183" s="2103"/>
      <c r="M183" s="2103"/>
      <c r="N183" s="2447"/>
      <c r="O183" s="2164"/>
      <c r="P183" s="2103"/>
      <c r="Q183" s="2103"/>
      <c r="R183" s="2437"/>
      <c r="S183" s="2338"/>
      <c r="T183" s="1362"/>
      <c r="U183" s="1363"/>
      <c r="V183" s="1363"/>
      <c r="W183" s="2449"/>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100"/>
      <c r="I184" s="2100"/>
      <c r="J184" s="2450"/>
      <c r="K184" s="2164"/>
      <c r="L184" s="2100"/>
      <c r="M184" s="2100"/>
      <c r="N184" s="2448"/>
      <c r="O184" s="2107"/>
      <c r="P184" s="254"/>
      <c r="Q184" s="255"/>
      <c r="R184" s="255" t="s">
        <v>417</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100"/>
      <c r="I185" s="2100"/>
      <c r="J185" s="2450"/>
      <c r="K185" s="2107"/>
      <c r="L185" s="254"/>
      <c r="M185" s="255"/>
      <c r="N185" s="255" t="s">
        <v>418</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103"/>
      <c r="M187" s="2103" t="s">
        <v>108</v>
      </c>
      <c r="N187" s="2447" t="str">
        <f>IF(Z187="","",INDEX(TERRITORY_MR_LIST,MATCH(Z187,TERRITORY_LIST_ID,0)))</f>
        <v/>
      </c>
      <c r="O187" s="2163" t="s">
        <v>65</v>
      </c>
      <c r="P187" s="2103"/>
      <c r="Q187" s="2103" t="s">
        <v>108</v>
      </c>
      <c r="R187" s="2437" t="s">
        <v>22</v>
      </c>
      <c r="S187" s="2338" t="s">
        <v>19</v>
      </c>
      <c r="T187" s="1729"/>
      <c r="U187" s="1729" t="s">
        <v>108</v>
      </c>
      <c r="V187" s="1361"/>
      <c r="W187" s="2449"/>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103"/>
      <c r="M188" s="2103"/>
      <c r="N188" s="2447"/>
      <c r="O188" s="2164"/>
      <c r="P188" s="2103"/>
      <c r="Q188" s="2103"/>
      <c r="R188" s="2437"/>
      <c r="S188" s="2338"/>
      <c r="T188" s="1362"/>
      <c r="U188" s="1363"/>
      <c r="V188" s="1363"/>
      <c r="W188" s="2449"/>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100"/>
      <c r="M189" s="2100"/>
      <c r="N189" s="2448"/>
      <c r="O189" s="2107"/>
      <c r="P189" s="254"/>
      <c r="Q189" s="255"/>
      <c r="R189" s="255" t="s">
        <v>417</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03"/>
      <c r="Q191" s="2103" t="s">
        <v>108</v>
      </c>
      <c r="R191" s="2437" t="s">
        <v>22</v>
      </c>
      <c r="S191" s="2338" t="s">
        <v>19</v>
      </c>
      <c r="T191" s="1729"/>
      <c r="U191" s="1729" t="s">
        <v>108</v>
      </c>
      <c r="V191" s="1361"/>
      <c r="W191" s="2449"/>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103"/>
      <c r="Q192" s="2103"/>
      <c r="R192" s="2437"/>
      <c r="S192" s="2338"/>
      <c r="T192" s="1362"/>
      <c r="U192" s="1363"/>
      <c r="V192" s="1363"/>
      <c r="W192" s="2449"/>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34"/>
      <c r="E194" s="2160"/>
      <c r="F194" s="2160"/>
      <c r="G194" s="2091"/>
      <c r="H194" s="2116"/>
      <c r="I194" s="2118"/>
      <c r="J194" s="2120"/>
      <c r="K194" s="2112"/>
      <c r="L194" s="2112"/>
      <c r="M194" s="2112"/>
      <c r="N194" s="2123"/>
      <c r="O194" s="2112"/>
      <c r="P194" s="2112"/>
      <c r="Q194" s="2112"/>
      <c r="R194" s="2110"/>
      <c r="S194" s="2112"/>
      <c r="T194" s="1710"/>
      <c r="U194" s="1710"/>
      <c r="V194" s="1778"/>
      <c r="W194" s="1223"/>
    </row>
    <row r="195" spans="1:63" ht="16.5" customHeight="1">
      <c r="A195" s="1766"/>
      <c r="B195" s="1767"/>
      <c r="C195" s="1771"/>
      <c r="D195" s="2434"/>
      <c r="E195" s="2160"/>
      <c r="F195" s="2160"/>
      <c r="G195" s="2091"/>
      <c r="H195" s="2117"/>
      <c r="I195" s="2119"/>
      <c r="J195" s="2121"/>
      <c r="K195" s="2113"/>
      <c r="L195" s="2113"/>
      <c r="M195" s="2113"/>
      <c r="N195" s="2124"/>
      <c r="O195" s="2113"/>
      <c r="P195" s="2113"/>
      <c r="Q195" s="2113"/>
      <c r="R195" s="2111"/>
      <c r="S195" s="2113"/>
      <c r="T195" s="1224"/>
      <c r="U195" s="1224"/>
      <c r="V195" s="1224"/>
      <c r="W195" s="1225"/>
    </row>
    <row r="196" spans="1:63" ht="17.25" customHeight="1">
      <c r="A196" s="1766"/>
      <c r="B196" s="1767"/>
      <c r="C196" s="1771"/>
      <c r="D196" s="2434"/>
      <c r="E196" s="2160"/>
      <c r="F196" s="2160"/>
      <c r="G196" s="2091"/>
      <c r="H196" s="2117"/>
      <c r="I196" s="2119"/>
      <c r="J196" s="2122"/>
      <c r="K196" s="2113"/>
      <c r="L196" s="2113"/>
      <c r="M196" s="2113"/>
      <c r="N196" s="2111"/>
      <c r="O196" s="2113"/>
      <c r="P196" s="1713"/>
      <c r="Q196" s="1224"/>
      <c r="R196" s="1224"/>
      <c r="S196" s="1779"/>
      <c r="T196" s="1779"/>
      <c r="U196" s="1779"/>
      <c r="V196" s="1779"/>
      <c r="W196" s="1225"/>
    </row>
    <row r="197" spans="1:63" ht="17.25" customHeight="1">
      <c r="A197" s="1766"/>
      <c r="B197" s="1767"/>
      <c r="C197" s="1771"/>
      <c r="D197" s="2434"/>
      <c r="E197" s="2160"/>
      <c r="F197" s="2160"/>
      <c r="G197" s="2091"/>
      <c r="H197" s="2117"/>
      <c r="I197" s="2119"/>
      <c r="J197" s="2122"/>
      <c r="K197" s="2113"/>
      <c r="L197" s="1224"/>
      <c r="M197" s="1224"/>
      <c r="N197" s="1224"/>
      <c r="O197" s="1224"/>
      <c r="P197" s="1224"/>
      <c r="Q197" s="1224"/>
      <c r="R197" s="1224"/>
      <c r="S197" s="1779"/>
      <c r="T197" s="1779"/>
      <c r="U197" s="1779"/>
      <c r="V197" s="1779"/>
      <c r="W197" s="1225"/>
    </row>
    <row r="198" spans="1:63" ht="17.25" customHeight="1">
      <c r="A198" s="1766"/>
      <c r="B198" s="1767"/>
      <c r="C198" s="1771"/>
      <c r="D198" s="2434"/>
      <c r="E198" s="2160"/>
      <c r="F198" s="2160"/>
      <c r="G198" s="2091"/>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1941</v>
      </c>
    </row>
    <row r="201" spans="1:63" ht="17.25" customHeight="1">
      <c r="G201" s="1765"/>
      <c r="H201" s="1765"/>
      <c r="I201" s="1765"/>
      <c r="M201" s="1761"/>
    </row>
    <row r="202" spans="1:63" s="1776" customFormat="1" ht="15" customHeight="1">
      <c r="D202" s="2473"/>
      <c r="E202" s="2155"/>
      <c r="F202" s="2155"/>
      <c r="G202" s="2163"/>
      <c r="H202" s="1491"/>
      <c r="I202" s="2474">
        <v>1</v>
      </c>
      <c r="J202" s="2449"/>
      <c r="K202" s="1506"/>
      <c r="L202" s="2163" t="s">
        <v>65</v>
      </c>
      <c r="M202" s="2163" t="s">
        <v>65</v>
      </c>
      <c r="N202" s="1491"/>
      <c r="O202" s="2103" t="s">
        <v>108</v>
      </c>
      <c r="P202" s="2480"/>
      <c r="Q202" s="1507"/>
      <c r="R202" s="2163" t="s">
        <v>65</v>
      </c>
      <c r="S202" s="2163" t="s">
        <v>65</v>
      </c>
      <c r="T202" s="1781"/>
      <c r="U202" s="2103" t="s">
        <v>108</v>
      </c>
      <c r="V202" s="2470" t="str">
        <f>IF(AK202="","",INDEX(TERRITORY_MR_LIST,MATCH(AK202,TERRITORY_LIST_ID,0)))</f>
        <v/>
      </c>
      <c r="W202" s="1508"/>
      <c r="X202" s="2163" t="s">
        <v>65</v>
      </c>
      <c r="Y202" s="2163" t="s">
        <v>19</v>
      </c>
      <c r="Z202" s="1491"/>
      <c r="AA202" s="2103" t="s">
        <v>108</v>
      </c>
      <c r="AB202" s="2472"/>
      <c r="AC202" s="1509"/>
      <c r="AD202" s="2163" t="s">
        <v>65</v>
      </c>
      <c r="AE202" s="2163" t="s">
        <v>19</v>
      </c>
      <c r="AF202" s="1489"/>
      <c r="AG202" s="1738" t="s">
        <v>108</v>
      </c>
      <c r="AH202" s="1499"/>
      <c r="AI202" s="1728"/>
    </row>
    <row r="203" spans="1:63" s="1776" customFormat="1" ht="15" customHeight="1">
      <c r="D203" s="2473"/>
      <c r="E203" s="2155"/>
      <c r="F203" s="2155"/>
      <c r="G203" s="2164"/>
      <c r="H203" s="1491"/>
      <c r="I203" s="2474"/>
      <c r="J203" s="2449"/>
      <c r="K203" s="1490"/>
      <c r="L203" s="2164"/>
      <c r="M203" s="2164"/>
      <c r="N203" s="1491"/>
      <c r="O203" s="2103"/>
      <c r="P203" s="2480"/>
      <c r="Q203" s="1487"/>
      <c r="R203" s="2164"/>
      <c r="S203" s="2164"/>
      <c r="T203" s="1781"/>
      <c r="U203" s="2103"/>
      <c r="V203" s="2471"/>
      <c r="W203" s="1488"/>
      <c r="X203" s="2164"/>
      <c r="Y203" s="2164"/>
      <c r="Z203" s="1491"/>
      <c r="AA203" s="2103"/>
      <c r="AB203" s="2405"/>
      <c r="AC203" s="1492"/>
      <c r="AD203" s="2107"/>
      <c r="AE203" s="2107"/>
      <c r="AF203" s="1493"/>
      <c r="AG203" s="1494"/>
      <c r="AH203" s="2476" t="s">
        <v>1942</v>
      </c>
      <c r="AI203" s="2477"/>
    </row>
    <row r="204" spans="1:63" s="1776" customFormat="1" ht="15" customHeight="1">
      <c r="D204" s="2473"/>
      <c r="E204" s="2155"/>
      <c r="F204" s="2155"/>
      <c r="G204" s="2164"/>
      <c r="H204" s="1491"/>
      <c r="I204" s="2474"/>
      <c r="J204" s="2449"/>
      <c r="K204" s="1490"/>
      <c r="L204" s="2164"/>
      <c r="M204" s="2164"/>
      <c r="N204" s="1491"/>
      <c r="O204" s="2103"/>
      <c r="P204" s="2480"/>
      <c r="Q204" s="1487"/>
      <c r="R204" s="2164"/>
      <c r="S204" s="2164"/>
      <c r="T204" s="1781"/>
      <c r="U204" s="2103"/>
      <c r="V204" s="2471"/>
      <c r="W204" s="1488"/>
      <c r="X204" s="2164"/>
      <c r="Y204" s="2164"/>
      <c r="Z204" s="1530"/>
      <c r="AA204" s="1496"/>
      <c r="AB204" s="2478" t="s">
        <v>1943</v>
      </c>
      <c r="AC204" s="2478"/>
      <c r="AD204" s="2478"/>
      <c r="AE204" s="2478"/>
      <c r="AF204" s="2478"/>
      <c r="AG204" s="2478"/>
      <c r="AH204" s="2478"/>
      <c r="AI204" s="2479"/>
    </row>
    <row r="205" spans="1:63" s="1776" customFormat="1" ht="15" customHeight="1">
      <c r="D205" s="2473"/>
      <c r="E205" s="2155"/>
      <c r="F205" s="2155"/>
      <c r="G205" s="2164"/>
      <c r="H205" s="1491"/>
      <c r="I205" s="2474"/>
      <c r="J205" s="2449"/>
      <c r="K205" s="1490"/>
      <c r="L205" s="2164"/>
      <c r="M205" s="2164"/>
      <c r="N205" s="1491"/>
      <c r="O205" s="2103"/>
      <c r="P205" s="2481"/>
      <c r="Q205" s="1487"/>
      <c r="R205" s="2164"/>
      <c r="S205" s="2164"/>
      <c r="T205" s="1782"/>
      <c r="U205" s="1531"/>
      <c r="V205" s="2476" t="s">
        <v>102</v>
      </c>
      <c r="W205" s="2476"/>
      <c r="X205" s="2476"/>
      <c r="Y205" s="2476"/>
      <c r="Z205" s="2476"/>
      <c r="AA205" s="2476"/>
      <c r="AB205" s="2476"/>
      <c r="AC205" s="2476"/>
      <c r="AD205" s="2476"/>
      <c r="AE205" s="2476"/>
      <c r="AF205" s="2476"/>
      <c r="AG205" s="2476"/>
      <c r="AH205" s="2476"/>
      <c r="AI205" s="2477"/>
    </row>
    <row r="206" spans="1:63" s="1776" customFormat="1" ht="11.25" customHeight="1">
      <c r="D206" s="2473"/>
      <c r="E206" s="2155"/>
      <c r="F206" s="2155"/>
      <c r="G206" s="2164"/>
      <c r="H206" s="1495"/>
      <c r="I206" s="2474"/>
      <c r="J206" s="2475"/>
      <c r="K206" s="1490"/>
      <c r="L206" s="2164"/>
      <c r="M206" s="2164"/>
      <c r="N206" s="1495"/>
      <c r="O206" s="1496"/>
      <c r="P206" s="2476" t="s">
        <v>1944</v>
      </c>
      <c r="Q206" s="2476"/>
      <c r="R206" s="2476"/>
      <c r="S206" s="2476"/>
      <c r="T206" s="2476"/>
      <c r="U206" s="2476"/>
      <c r="V206" s="2476"/>
      <c r="W206" s="2476"/>
      <c r="X206" s="2476"/>
      <c r="Y206" s="2476"/>
      <c r="Z206" s="2476"/>
      <c r="AA206" s="2476"/>
      <c r="AB206" s="2476"/>
      <c r="AC206" s="2476"/>
      <c r="AD206" s="2476"/>
      <c r="AE206" s="2476"/>
      <c r="AF206" s="2476"/>
      <c r="AG206" s="2476"/>
      <c r="AH206" s="2476"/>
      <c r="AI206" s="2477"/>
    </row>
    <row r="207" spans="1:63" s="1481" customFormat="1" ht="11.25" customHeight="1">
      <c r="D207" s="2473"/>
      <c r="E207" s="2155"/>
      <c r="F207" s="2155"/>
      <c r="G207" s="2107"/>
      <c r="H207" s="1497"/>
      <c r="I207" s="1498"/>
      <c r="J207" s="2476" t="s">
        <v>450</v>
      </c>
      <c r="K207" s="2476"/>
      <c r="L207" s="2476"/>
      <c r="M207" s="2476"/>
      <c r="N207" s="2476"/>
      <c r="O207" s="2476"/>
      <c r="P207" s="2476"/>
      <c r="Q207" s="2476"/>
      <c r="R207" s="2476"/>
      <c r="S207" s="2476"/>
      <c r="T207" s="2476"/>
      <c r="U207" s="2476"/>
      <c r="V207" s="2476"/>
      <c r="W207" s="2476"/>
      <c r="X207" s="2476"/>
      <c r="Y207" s="2476"/>
      <c r="Z207" s="2476"/>
      <c r="AA207" s="2476"/>
      <c r="AB207" s="2476"/>
      <c r="AC207" s="2476"/>
      <c r="AD207" s="2476"/>
      <c r="AE207" s="2476"/>
      <c r="AF207" s="2476"/>
      <c r="AG207" s="2476"/>
      <c r="AH207" s="2476"/>
      <c r="AI207" s="2477"/>
      <c r="BK207" s="1501"/>
    </row>
    <row r="208" spans="1:63" ht="17.25" customHeight="1">
      <c r="G208" s="1765"/>
      <c r="I208" s="1765"/>
      <c r="J208" s="1765"/>
      <c r="N208" s="1761"/>
    </row>
    <row r="209" spans="4:63" s="1776" customFormat="1" ht="15" customHeight="1">
      <c r="D209" s="2473"/>
      <c r="E209" s="2155"/>
      <c r="F209" s="2155"/>
      <c r="G209" s="2160"/>
      <c r="H209" s="1526"/>
      <c r="I209" s="2165"/>
      <c r="J209" s="2120"/>
      <c r="K209" s="1712"/>
      <c r="L209" s="2112"/>
      <c r="M209" s="2112"/>
      <c r="N209" s="1511"/>
      <c r="O209" s="2112"/>
      <c r="P209" s="2120"/>
      <c r="Q209" s="1716"/>
      <c r="R209" s="2112"/>
      <c r="S209" s="2112"/>
      <c r="T209" s="1783"/>
      <c r="U209" s="2112"/>
      <c r="V209" s="2120"/>
      <c r="W209" s="1514"/>
      <c r="X209" s="2112"/>
      <c r="Y209" s="2112"/>
      <c r="Z209" s="1511"/>
      <c r="AA209" s="2112"/>
      <c r="AB209" s="2120"/>
      <c r="AC209" s="1515"/>
      <c r="AD209" s="2112"/>
      <c r="AE209" s="2112"/>
      <c r="AF209" s="1710"/>
      <c r="AG209" s="1710"/>
      <c r="AH209" s="1516"/>
      <c r="AI209" s="1223"/>
    </row>
    <row r="210" spans="4:63" s="1776" customFormat="1" ht="15" customHeight="1">
      <c r="D210" s="2473"/>
      <c r="E210" s="2155"/>
      <c r="F210" s="2155"/>
      <c r="G210" s="2160"/>
      <c r="H210" s="1527"/>
      <c r="I210" s="2166"/>
      <c r="J210" s="2121"/>
      <c r="K210" s="1537"/>
      <c r="L210" s="2113"/>
      <c r="M210" s="2113"/>
      <c r="N210" s="1517"/>
      <c r="O210" s="2113"/>
      <c r="P210" s="2121"/>
      <c r="Q210" s="1717"/>
      <c r="R210" s="2113"/>
      <c r="S210" s="2113"/>
      <c r="T210" s="1784"/>
      <c r="U210" s="2113"/>
      <c r="V210" s="2121"/>
      <c r="W210" s="1520"/>
      <c r="X210" s="2113"/>
      <c r="Y210" s="2113"/>
      <c r="Z210" s="1517"/>
      <c r="AA210" s="2113"/>
      <c r="AB210" s="2121"/>
      <c r="AC210" s="1521"/>
      <c r="AD210" s="2113"/>
      <c r="AE210" s="2113"/>
      <c r="AF210" s="1715"/>
      <c r="AG210" s="1715"/>
      <c r="AH210" s="2169"/>
      <c r="AI210" s="2170"/>
    </row>
    <row r="211" spans="4:63" s="1776" customFormat="1" ht="15" customHeight="1">
      <c r="D211" s="2473"/>
      <c r="E211" s="2155"/>
      <c r="F211" s="2155"/>
      <c r="G211" s="2160"/>
      <c r="H211" s="1527"/>
      <c r="I211" s="2166"/>
      <c r="J211" s="2121"/>
      <c r="K211" s="1537"/>
      <c r="L211" s="2113"/>
      <c r="M211" s="2113"/>
      <c r="N211" s="1517"/>
      <c r="O211" s="2113"/>
      <c r="P211" s="2121"/>
      <c r="Q211" s="1717"/>
      <c r="R211" s="2113"/>
      <c r="S211" s="2113"/>
      <c r="T211" s="1784"/>
      <c r="U211" s="2113"/>
      <c r="V211" s="2121"/>
      <c r="W211" s="1520"/>
      <c r="X211" s="2113"/>
      <c r="Y211" s="2113"/>
      <c r="Z211" s="1713"/>
      <c r="AA211" s="1715"/>
      <c r="AB211" s="2169"/>
      <c r="AC211" s="2169"/>
      <c r="AD211" s="2169"/>
      <c r="AE211" s="2169"/>
      <c r="AF211" s="2169"/>
      <c r="AG211" s="2169"/>
      <c r="AH211" s="2169"/>
      <c r="AI211" s="2170"/>
    </row>
    <row r="212" spans="4:63" s="1776" customFormat="1" ht="15" customHeight="1">
      <c r="D212" s="2473"/>
      <c r="E212" s="2155"/>
      <c r="F212" s="2155"/>
      <c r="G212" s="2160"/>
      <c r="H212" s="1527"/>
      <c r="I212" s="2166"/>
      <c r="J212" s="2121"/>
      <c r="K212" s="1537"/>
      <c r="L212" s="2113"/>
      <c r="M212" s="2113"/>
      <c r="N212" s="1517"/>
      <c r="O212" s="2113"/>
      <c r="P212" s="2121"/>
      <c r="Q212" s="1717"/>
      <c r="R212" s="2113"/>
      <c r="S212" s="2113"/>
      <c r="T212" s="1785"/>
      <c r="U212" s="1524"/>
      <c r="V212" s="2169"/>
      <c r="W212" s="2169"/>
      <c r="X212" s="2169"/>
      <c r="Y212" s="2169"/>
      <c r="Z212" s="2169"/>
      <c r="AA212" s="2169"/>
      <c r="AB212" s="2169"/>
      <c r="AC212" s="2169"/>
      <c r="AD212" s="2169"/>
      <c r="AE212" s="2169"/>
      <c r="AF212" s="2169"/>
      <c r="AG212" s="2169"/>
      <c r="AH212" s="2169"/>
      <c r="AI212" s="2170"/>
    </row>
    <row r="213" spans="4:63" s="1776" customFormat="1" ht="11.25" customHeight="1">
      <c r="D213" s="2473"/>
      <c r="E213" s="2155"/>
      <c r="F213" s="2155"/>
      <c r="G213" s="2160"/>
      <c r="H213" s="1528"/>
      <c r="I213" s="2166"/>
      <c r="J213" s="2121"/>
      <c r="K213" s="1537"/>
      <c r="L213" s="2113"/>
      <c r="M213" s="2113"/>
      <c r="N213" s="1715"/>
      <c r="O213" s="1715"/>
      <c r="P213" s="2169"/>
      <c r="Q213" s="2169"/>
      <c r="R213" s="2169"/>
      <c r="S213" s="2169"/>
      <c r="T213" s="2169"/>
      <c r="U213" s="2169"/>
      <c r="V213" s="2169"/>
      <c r="W213" s="2169"/>
      <c r="X213" s="2169"/>
      <c r="Y213" s="2169"/>
      <c r="Z213" s="2169"/>
      <c r="AA213" s="2169"/>
      <c r="AB213" s="2169"/>
      <c r="AC213" s="2169"/>
      <c r="AD213" s="2169"/>
      <c r="AE213" s="2169"/>
      <c r="AF213" s="2169"/>
      <c r="AG213" s="2169"/>
      <c r="AH213" s="2169"/>
      <c r="AI213" s="2170"/>
    </row>
    <row r="214" spans="4:63" s="1481" customFormat="1" ht="11.25" customHeight="1">
      <c r="D214" s="2473"/>
      <c r="E214" s="2155"/>
      <c r="F214" s="2155"/>
      <c r="G214" s="2171"/>
      <c r="H214" s="1525"/>
      <c r="I214" s="1529"/>
      <c r="J214" s="2167"/>
      <c r="K214" s="2167"/>
      <c r="L214" s="2167"/>
      <c r="M214" s="2167"/>
      <c r="N214" s="2167"/>
      <c r="O214" s="2167"/>
      <c r="P214" s="2167"/>
      <c r="Q214" s="2167"/>
      <c r="R214" s="2167"/>
      <c r="S214" s="2167"/>
      <c r="T214" s="2167"/>
      <c r="U214" s="2167"/>
      <c r="V214" s="2167"/>
      <c r="W214" s="2167"/>
      <c r="X214" s="2167"/>
      <c r="Y214" s="2167"/>
      <c r="Z214" s="2167"/>
      <c r="AA214" s="2167"/>
      <c r="AB214" s="2167"/>
      <c r="AC214" s="2167"/>
      <c r="AD214" s="2167"/>
      <c r="AE214" s="2167"/>
      <c r="AF214" s="2167"/>
      <c r="AG214" s="2167"/>
      <c r="AH214" s="2167"/>
      <c r="AI214" s="216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1945</v>
      </c>
      <c r="B1" s="777"/>
      <c r="C1" s="912" t="s">
        <v>1946</v>
      </c>
      <c r="D1" s="910" t="s">
        <v>810</v>
      </c>
      <c r="E1" s="910" t="s">
        <v>856</v>
      </c>
      <c r="F1" s="910" t="s">
        <v>909</v>
      </c>
      <c r="G1" s="910" t="s">
        <v>896</v>
      </c>
      <c r="H1" s="910" t="s">
        <v>1621</v>
      </c>
    </row>
    <row r="2" spans="1:8" ht="9" customHeight="1">
      <c r="A2" s="913" t="s">
        <v>1947</v>
      </c>
      <c r="B2" s="913"/>
      <c r="C2" s="914" t="str">
        <f>INDEX(TEMPLATE_NUMBER_FORM_LIST,MATCH(TEMPLATE_SPHERE,TEMPLATE_SPHERE_LIST,0))</f>
        <v>10</v>
      </c>
      <c r="D2" s="913" t="s">
        <v>1470</v>
      </c>
      <c r="E2" s="913" t="s">
        <v>153</v>
      </c>
      <c r="F2" s="915" t="s">
        <v>153</v>
      </c>
      <c r="G2" s="913" t="s">
        <v>153</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1948</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1949</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1950</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1951</v>
      </c>
    </row>
    <row r="5" spans="1:8" ht="117" customHeight="1">
      <c r="A5" s="777" t="s">
        <v>1952</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1953</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1954</v>
      </c>
    </row>
    <row r="6" spans="1:8" ht="90" customHeight="1">
      <c r="A6" s="777" t="s">
        <v>1955</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1956</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1957</v>
      </c>
      <c r="E7" s="777" t="s">
        <v>1958</v>
      </c>
      <c r="F7" s="916"/>
      <c r="G7" s="916"/>
      <c r="H7" s="916"/>
    </row>
    <row r="8" spans="1:8" ht="108" customHeight="1">
      <c r="A8" s="777" t="s">
        <v>1959</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1158</v>
      </c>
      <c r="E8" s="777" t="s">
        <v>1960</v>
      </c>
      <c r="F8" s="916"/>
      <c r="G8" s="916"/>
      <c r="H8" s="916"/>
    </row>
    <row r="9" spans="1:8" ht="99" customHeight="1">
      <c r="A9" s="777" t="s">
        <v>1961</v>
      </c>
      <c r="B9" s="777"/>
      <c r="C9" s="777" t="s">
        <v>1962</v>
      </c>
      <c r="D9" s="777"/>
      <c r="E9" s="777"/>
      <c r="F9" s="916"/>
      <c r="G9" s="916"/>
      <c r="H9" s="916"/>
    </row>
    <row r="10" spans="1:8" ht="126" customHeight="1">
      <c r="A10" s="777" t="s">
        <v>1963</v>
      </c>
      <c r="B10" s="777"/>
      <c r="C10" s="777" t="s">
        <v>1964</v>
      </c>
      <c r="D10" s="777"/>
      <c r="E10" s="777"/>
      <c r="F10" s="916"/>
      <c r="G10" s="916"/>
      <c r="H10" s="916"/>
    </row>
    <row r="11" spans="1:8" ht="108" customHeight="1">
      <c r="A11" s="777" t="s">
        <v>1965</v>
      </c>
      <c r="B11" s="777"/>
      <c r="C11" s="777" t="s">
        <v>1966</v>
      </c>
      <c r="D11" s="777"/>
      <c r="E11" s="777"/>
      <c r="F11" s="916"/>
      <c r="G11" s="916"/>
      <c r="H11" s="916"/>
    </row>
    <row r="12" spans="1:8" ht="54" customHeight="1">
      <c r="A12" s="777" t="s">
        <v>1967</v>
      </c>
      <c r="B12" s="777"/>
      <c r="C12" s="777" t="s">
        <v>1968</v>
      </c>
      <c r="D12" s="777"/>
      <c r="E12" s="777"/>
      <c r="F12" s="916"/>
      <c r="G12" s="916"/>
      <c r="H12" s="916"/>
    </row>
    <row r="13" spans="1:8" ht="45" customHeight="1">
      <c r="A13" s="777" t="s">
        <v>1969</v>
      </c>
      <c r="B13" s="777"/>
      <c r="C13" s="777" t="s">
        <v>1970</v>
      </c>
      <c r="D13" s="777"/>
      <c r="E13" s="777"/>
      <c r="F13" s="916"/>
      <c r="G13" s="916"/>
      <c r="H13" s="916"/>
    </row>
    <row r="14" spans="1:8" ht="117" customHeight="1">
      <c r="A14" s="777" t="s">
        <v>1971</v>
      </c>
      <c r="B14" s="777"/>
      <c r="C14" s="777" t="s">
        <v>1972</v>
      </c>
      <c r="D14" s="777"/>
      <c r="E14" s="777"/>
      <c r="F14" s="916"/>
      <c r="G14" s="916"/>
      <c r="H14" s="916"/>
    </row>
    <row r="15" spans="1:8" ht="117" customHeight="1">
      <c r="A15" s="777" t="s">
        <v>1973</v>
      </c>
      <c r="B15" s="777"/>
      <c r="C15" s="777" t="s">
        <v>1974</v>
      </c>
      <c r="D15" s="777"/>
      <c r="E15" s="777"/>
      <c r="F15" s="916"/>
      <c r="G15" s="916"/>
      <c r="H15" s="916"/>
    </row>
    <row r="16" spans="1:8" ht="63" customHeight="1">
      <c r="A16" s="777" t="s">
        <v>1975</v>
      </c>
      <c r="B16" s="777"/>
      <c r="C16" s="777" t="s">
        <v>1976</v>
      </c>
      <c r="D16" s="777"/>
      <c r="E16" s="777"/>
      <c r="F16" s="916"/>
      <c r="G16" s="916"/>
      <c r="H16" s="916"/>
    </row>
    <row r="17" spans="1:8" ht="54" customHeight="1">
      <c r="A17" s="777" t="s">
        <v>1977</v>
      </c>
      <c r="B17" s="777"/>
      <c r="C17" s="914" t="s">
        <v>1978</v>
      </c>
      <c r="D17" s="777"/>
      <c r="E17" s="777"/>
      <c r="F17" s="916"/>
      <c r="G17" s="916"/>
      <c r="H17" s="916"/>
    </row>
    <row r="18" spans="1:8" ht="27" customHeight="1">
      <c r="A18" s="777" t="s">
        <v>1979</v>
      </c>
      <c r="B18" s="777"/>
      <c r="C18" s="914" t="s">
        <v>1980</v>
      </c>
      <c r="D18" s="777"/>
      <c r="E18" s="777"/>
      <c r="F18" s="916"/>
      <c r="G18" s="916"/>
      <c r="H18" s="916"/>
    </row>
    <row r="19" spans="1:8" ht="54" customHeight="1">
      <c r="A19" s="777" t="s">
        <v>1981</v>
      </c>
      <c r="B19" s="777"/>
      <c r="C19" s="914" t="s">
        <v>1982</v>
      </c>
      <c r="D19" s="777"/>
      <c r="E19" s="777"/>
      <c r="F19" s="916"/>
      <c r="G19" s="916"/>
      <c r="H19" s="916"/>
    </row>
    <row r="20" spans="1:8" ht="36" customHeight="1">
      <c r="A20" s="777" t="s">
        <v>1983</v>
      </c>
      <c r="B20" s="777"/>
      <c r="C20" s="914" t="s">
        <v>1984</v>
      </c>
      <c r="D20" s="777"/>
      <c r="E20" s="777"/>
      <c r="F20" s="916"/>
      <c r="G20" s="916"/>
      <c r="H20" s="916"/>
    </row>
    <row r="21" spans="1:8" ht="36" customHeight="1">
      <c r="A21" s="777" t="s">
        <v>1985</v>
      </c>
      <c r="B21" s="777"/>
      <c r="C21" s="914" t="s">
        <v>1986</v>
      </c>
      <c r="D21" s="777"/>
      <c r="E21" s="777"/>
      <c r="F21" s="916"/>
      <c r="G21" s="916"/>
      <c r="H21" s="916"/>
    </row>
    <row r="22" spans="1:8" ht="27" customHeight="1">
      <c r="A22" s="777" t="s">
        <v>1987</v>
      </c>
      <c r="B22" s="777"/>
      <c r="C22" s="914" t="s">
        <v>1988</v>
      </c>
      <c r="D22" s="777"/>
      <c r="E22" s="777"/>
      <c r="F22" s="916"/>
      <c r="G22" s="916"/>
      <c r="H22" s="916"/>
    </row>
    <row r="23" spans="1:8" ht="36" customHeight="1">
      <c r="A23" s="777" t="s">
        <v>1989</v>
      </c>
      <c r="B23" s="777"/>
      <c r="C23" s="914" t="s">
        <v>1990</v>
      </c>
      <c r="D23" s="777"/>
      <c r="E23" s="777"/>
      <c r="F23" s="916"/>
      <c r="G23" s="916"/>
      <c r="H23" s="916"/>
    </row>
    <row r="24" spans="1:8" ht="28.5" customHeight="1">
      <c r="A24" s="777" t="s">
        <v>1991</v>
      </c>
      <c r="B24" s="777"/>
      <c r="C24" s="914" t="s">
        <v>1992</v>
      </c>
      <c r="D24" s="777"/>
      <c r="E24" s="777"/>
      <c r="F24" s="916"/>
      <c r="G24" s="916"/>
      <c r="H24" s="916"/>
    </row>
    <row r="25" spans="1:8" ht="36" customHeight="1">
      <c r="A25" s="777" t="s">
        <v>1993</v>
      </c>
      <c r="B25" s="777"/>
      <c r="C25" s="914" t="s">
        <v>1994</v>
      </c>
      <c r="D25" s="777"/>
      <c r="E25" s="777"/>
      <c r="F25" s="916"/>
      <c r="G25" s="916"/>
      <c r="H25" s="916"/>
    </row>
    <row r="26" spans="1:8" ht="27" customHeight="1">
      <c r="A26" s="777" t="s">
        <v>1995</v>
      </c>
      <c r="B26" s="777"/>
      <c r="C26" s="914" t="s">
        <v>1996</v>
      </c>
      <c r="D26" s="777"/>
      <c r="E26" s="777"/>
      <c r="F26" s="916"/>
      <c r="G26" s="916"/>
      <c r="H26" s="916"/>
    </row>
    <row r="27" spans="1:8" ht="36" customHeight="1">
      <c r="A27" s="777" t="s">
        <v>1997</v>
      </c>
      <c r="B27" s="777"/>
      <c r="C27" s="914" t="s">
        <v>1998</v>
      </c>
      <c r="D27" s="777"/>
      <c r="E27" s="777"/>
      <c r="F27" s="916"/>
      <c r="G27" s="916"/>
      <c r="H27" s="916"/>
    </row>
    <row r="28" spans="1:8" ht="28.5" customHeight="1">
      <c r="A28" s="777" t="s">
        <v>1999</v>
      </c>
      <c r="B28" s="777"/>
      <c r="C28" s="914" t="s">
        <v>2000</v>
      </c>
      <c r="D28" s="777"/>
      <c r="E28" s="777"/>
      <c r="F28" s="916"/>
      <c r="G28" s="916"/>
      <c r="H28" s="916"/>
    </row>
    <row r="29" spans="1:8" ht="126" customHeight="1">
      <c r="A29" s="777" t="s">
        <v>2001</v>
      </c>
      <c r="B29" s="777" t="s">
        <v>1572</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2002</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2003</v>
      </c>
    </row>
    <row r="30" spans="1:8" ht="36" customHeight="1">
      <c r="A30" s="777" t="s">
        <v>2004</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2005</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2006</v>
      </c>
      <c r="B31" s="777"/>
      <c r="C31" s="914" t="str">
        <f>IF(TEMPLATE_SPHERE="HEAT",D31,IF(TEMPLATE_SPHERE="TKO",H31,E31))</f>
        <v>Форма 1. Информация об организации, осуществляющей холодное водоснабжение (общая информация)</v>
      </c>
      <c r="D31" s="777" t="s">
        <v>2007</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2008</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2009</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2010</v>
      </c>
    </row>
    <row r="33" spans="1:8" ht="9" customHeight="1">
      <c r="A33" s="777"/>
      <c r="B33" s="777"/>
      <c r="C33" s="914"/>
      <c r="D33" s="777"/>
      <c r="E33" s="777"/>
      <c r="F33" s="916"/>
      <c r="G33" s="916"/>
      <c r="H33" s="916"/>
    </row>
    <row r="34" spans="1:8" ht="9" customHeight="1">
      <c r="A34" s="777"/>
      <c r="B34" s="777" t="s">
        <v>1508</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2011</v>
      </c>
      <c r="D1" s="828"/>
      <c r="E1" s="828"/>
      <c r="F1" s="828"/>
      <c r="G1" s="828"/>
      <c r="H1" s="828" t="s">
        <v>2012</v>
      </c>
      <c r="I1" s="828"/>
      <c r="J1" s="828"/>
      <c r="K1" s="828"/>
      <c r="L1" s="828"/>
      <c r="M1" s="828" t="s">
        <v>2013</v>
      </c>
      <c r="N1" s="828" t="s">
        <v>2014</v>
      </c>
      <c r="O1" s="2486" t="s">
        <v>2015</v>
      </c>
      <c r="P1" s="2486"/>
      <c r="Q1" s="2486"/>
      <c r="R1" s="2486"/>
      <c r="S1" s="2486"/>
      <c r="T1" s="2486" t="s">
        <v>2013</v>
      </c>
      <c r="U1" s="2486"/>
      <c r="V1" s="2486"/>
      <c r="W1" s="2486"/>
      <c r="X1" s="2486"/>
      <c r="Y1" s="929"/>
      <c r="Z1" s="2486" t="s">
        <v>2016</v>
      </c>
      <c r="AA1" s="2486"/>
      <c r="AB1" s="2486"/>
      <c r="AC1" s="2486"/>
      <c r="AD1" s="2486"/>
    </row>
    <row r="2" spans="1:34" ht="18" customHeight="1">
      <c r="A2" s="777"/>
      <c r="B2" s="777"/>
      <c r="C2" s="772" t="s">
        <v>810</v>
      </c>
      <c r="D2" s="772" t="s">
        <v>856</v>
      </c>
      <c r="E2" s="772" t="s">
        <v>909</v>
      </c>
      <c r="F2" s="772" t="s">
        <v>896</v>
      </c>
      <c r="G2" s="772" t="s">
        <v>1621</v>
      </c>
      <c r="H2" s="774"/>
      <c r="I2" s="774"/>
      <c r="J2" s="774"/>
      <c r="K2" s="774"/>
      <c r="L2" s="774"/>
      <c r="M2" s="774"/>
      <c r="N2" s="774"/>
      <c r="O2" s="772" t="s">
        <v>810</v>
      </c>
      <c r="P2" s="772" t="s">
        <v>856</v>
      </c>
      <c r="Q2" s="772" t="s">
        <v>896</v>
      </c>
      <c r="R2" s="772" t="s">
        <v>909</v>
      </c>
      <c r="S2" s="772" t="s">
        <v>1621</v>
      </c>
      <c r="T2" s="772" t="s">
        <v>810</v>
      </c>
      <c r="U2" s="772" t="s">
        <v>856</v>
      </c>
      <c r="V2" s="772" t="s">
        <v>896</v>
      </c>
      <c r="W2" s="772" t="s">
        <v>909</v>
      </c>
      <c r="X2" s="772" t="s">
        <v>1621</v>
      </c>
      <c r="Y2" s="772"/>
      <c r="Z2" s="772" t="s">
        <v>810</v>
      </c>
      <c r="AA2" s="781" t="s">
        <v>856</v>
      </c>
      <c r="AB2" s="772" t="s">
        <v>896</v>
      </c>
      <c r="AC2" s="772" t="s">
        <v>909</v>
      </c>
      <c r="AD2" s="772" t="s">
        <v>1621</v>
      </c>
    </row>
    <row r="3" spans="1:34" ht="162" customHeight="1">
      <c r="A3" s="776" t="s">
        <v>27</v>
      </c>
      <c r="B3" s="776"/>
      <c r="C3" s="2490" t="s">
        <v>2017</v>
      </c>
      <c r="D3" s="2491"/>
      <c r="E3" s="2491"/>
      <c r="F3" s="2492"/>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2018</v>
      </c>
      <c r="AA3" s="774" t="s">
        <v>2019</v>
      </c>
      <c r="AB3" s="777" t="s">
        <v>2020</v>
      </c>
      <c r="AC3" s="777" t="s">
        <v>2021</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87" t="s">
        <v>33</v>
      </c>
      <c r="B11" s="829">
        <v>1</v>
      </c>
      <c r="C11" s="2493" t="s">
        <v>1559</v>
      </c>
      <c r="D11" s="2493" t="s">
        <v>1555</v>
      </c>
      <c r="E11" s="2493" t="s">
        <v>1653</v>
      </c>
      <c r="F11" s="2493" t="s">
        <v>2022</v>
      </c>
      <c r="G11" s="2493"/>
      <c r="H11" s="828" t="s">
        <v>2023</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2024</v>
      </c>
      <c r="U11" s="774" t="s">
        <v>2025</v>
      </c>
      <c r="V11" s="774"/>
      <c r="W11" s="774"/>
      <c r="X11" s="774"/>
      <c r="Y11" s="930"/>
      <c r="Z11" s="777" t="s">
        <v>2026</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87"/>
      <c r="B12" s="829">
        <v>2</v>
      </c>
      <c r="C12" s="2494"/>
      <c r="D12" s="2494"/>
      <c r="E12" s="2494"/>
      <c r="F12" s="2494"/>
      <c r="G12" s="2494"/>
      <c r="H12" s="828" t="s">
        <v>2027</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2028</v>
      </c>
      <c r="U12" s="774" t="s">
        <v>2029</v>
      </c>
      <c r="V12" s="774"/>
      <c r="W12" s="774"/>
      <c r="X12" s="774"/>
      <c r="Y12" s="930"/>
      <c r="Z12" s="777" t="s">
        <v>2030</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87"/>
      <c r="B13" s="829">
        <v>3</v>
      </c>
      <c r="C13" s="2494"/>
      <c r="D13" s="2494"/>
      <c r="E13" s="2494"/>
      <c r="F13" s="2494"/>
      <c r="G13" s="2494"/>
      <c r="H13" s="2486" t="s">
        <v>2031</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2032</v>
      </c>
      <c r="U13" s="775" t="s">
        <v>2033</v>
      </c>
      <c r="V13" s="775"/>
      <c r="W13" s="775"/>
      <c r="X13" s="774"/>
      <c r="Y13" s="930"/>
      <c r="Z13" s="777" t="s">
        <v>2034</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87"/>
      <c r="B14" s="829">
        <v>4</v>
      </c>
      <c r="C14" s="2494"/>
      <c r="D14" s="2494"/>
      <c r="E14" s="2494"/>
      <c r="F14" s="2494"/>
      <c r="G14" s="2494"/>
      <c r="H14" s="2486"/>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2035</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2036</v>
      </c>
      <c r="AA14" s="780" t="s">
        <v>2036</v>
      </c>
      <c r="AB14" s="777"/>
      <c r="AC14" s="777"/>
      <c r="AD14" s="777"/>
    </row>
    <row r="15" spans="1:34" ht="108" customHeight="1">
      <c r="A15" s="2487"/>
      <c r="B15" s="829">
        <v>5</v>
      </c>
      <c r="C15" s="2494"/>
      <c r="D15" s="2494"/>
      <c r="E15" s="2494"/>
      <c r="F15" s="2494"/>
      <c r="G15" s="2494"/>
      <c r="H15" s="2488" t="s">
        <v>2037</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2038</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2039</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95"/>
      <c r="D16" s="2495"/>
      <c r="E16" s="2495"/>
      <c r="F16" s="2495"/>
      <c r="G16" s="2495"/>
      <c r="H16" s="2489"/>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2039</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1656</v>
      </c>
      <c r="B18" s="829">
        <v>1</v>
      </c>
      <c r="C18" s="774" t="s">
        <v>2023</v>
      </c>
      <c r="D18" s="897" t="s">
        <v>2023</v>
      </c>
      <c r="E18" s="774" t="s">
        <v>2023</v>
      </c>
      <c r="F18" s="774" t="s">
        <v>2023</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2040</v>
      </c>
      <c r="U18" s="777" t="s">
        <v>2041</v>
      </c>
      <c r="V18" s="777" t="s">
        <v>2042</v>
      </c>
      <c r="W18" s="777" t="s">
        <v>2043</v>
      </c>
      <c r="X18" s="774"/>
      <c r="Y18" s="930"/>
      <c r="Z18" s="777" t="s">
        <v>2044</v>
      </c>
      <c r="AA18" s="780" t="s">
        <v>2045</v>
      </c>
      <c r="AB18" s="780" t="s">
        <v>2045</v>
      </c>
      <c r="AC18" s="780" t="s">
        <v>2045</v>
      </c>
      <c r="AD18" s="777"/>
    </row>
    <row r="19" spans="1:30" ht="36" customHeight="1">
      <c r="A19" s="776"/>
      <c r="B19" s="829">
        <v>2</v>
      </c>
      <c r="C19" s="774" t="s">
        <v>2027</v>
      </c>
      <c r="D19" s="897" t="s">
        <v>2027</v>
      </c>
      <c r="E19" s="774" t="s">
        <v>2027</v>
      </c>
      <c r="F19" s="774" t="s">
        <v>2027</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2046</v>
      </c>
      <c r="U19" s="777" t="s">
        <v>2047</v>
      </c>
      <c r="V19" s="777" t="s">
        <v>2048</v>
      </c>
      <c r="W19" s="777" t="s">
        <v>2049</v>
      </c>
      <c r="X19" s="774"/>
      <c r="Y19" s="930"/>
      <c r="Z19" s="777" t="s">
        <v>2050</v>
      </c>
      <c r="AA19" s="780" t="s">
        <v>2050</v>
      </c>
      <c r="AB19" s="780" t="s">
        <v>2050</v>
      </c>
      <c r="AC19" s="780" t="s">
        <v>2050</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711</v>
      </c>
      <c r="P20" s="887" t="s">
        <v>711</v>
      </c>
      <c r="Q20" s="887" t="s">
        <v>711</v>
      </c>
      <c r="R20" s="887" t="s">
        <v>711</v>
      </c>
      <c r="S20" s="887"/>
      <c r="T20" s="894" t="s">
        <v>2051</v>
      </c>
      <c r="U20" s="777" t="s">
        <v>2052</v>
      </c>
      <c r="V20" s="777" t="s">
        <v>2053</v>
      </c>
      <c r="W20" s="777" t="s">
        <v>2054</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309</v>
      </c>
      <c r="P21" s="887"/>
      <c r="Q21" s="887"/>
      <c r="R21" s="887"/>
      <c r="S21" s="887"/>
      <c r="T21" s="894" t="s">
        <v>2055</v>
      </c>
      <c r="U21" s="777"/>
      <c r="V21" s="777"/>
      <c r="W21" s="777"/>
      <c r="X21" s="774"/>
      <c r="Y21" s="930"/>
      <c r="Z21" s="777" t="s">
        <v>2056</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309</v>
      </c>
      <c r="R22" s="887"/>
      <c r="S22" s="887"/>
      <c r="T22" s="894"/>
      <c r="U22" s="777"/>
      <c r="V22" s="777" t="s">
        <v>2057</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312</v>
      </c>
      <c r="R23" s="887"/>
      <c r="S23" s="887"/>
      <c r="T23" s="894"/>
      <c r="U23" s="777"/>
      <c r="V23" s="777" t="s">
        <v>2058</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731</v>
      </c>
      <c r="R24" s="887"/>
      <c r="S24" s="887"/>
      <c r="T24" s="894"/>
      <c r="U24" s="777"/>
      <c r="V24" s="777" t="s">
        <v>2059</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312</v>
      </c>
      <c r="P25" s="887" t="s">
        <v>309</v>
      </c>
      <c r="Q25" s="887" t="s">
        <v>738</v>
      </c>
      <c r="R25" s="887" t="s">
        <v>309</v>
      </c>
      <c r="S25" s="887"/>
      <c r="T25" s="894" t="s">
        <v>2060</v>
      </c>
      <c r="U25" s="777" t="s">
        <v>2060</v>
      </c>
      <c r="V25" s="777" t="s">
        <v>2060</v>
      </c>
      <c r="W25" s="777" t="s">
        <v>2060</v>
      </c>
      <c r="X25" s="774"/>
      <c r="Y25" s="930"/>
      <c r="Z25" s="777"/>
      <c r="AA25" s="780"/>
      <c r="AB25" s="777"/>
      <c r="AC25" s="777"/>
      <c r="AD25" s="777"/>
    </row>
    <row r="26" spans="1:30" ht="18" customHeight="1">
      <c r="A26" s="776"/>
      <c r="B26" s="829">
        <v>9</v>
      </c>
      <c r="C26" s="774" t="s">
        <v>655</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727</v>
      </c>
      <c r="P26" s="887" t="s">
        <v>721</v>
      </c>
      <c r="Q26" s="887" t="s">
        <v>2061</v>
      </c>
      <c r="R26" s="887" t="s">
        <v>721</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2062</v>
      </c>
      <c r="V26" s="894" t="s">
        <v>2062</v>
      </c>
      <c r="W26" s="894" t="s">
        <v>2062</v>
      </c>
      <c r="X26" s="774"/>
      <c r="Y26" s="930"/>
      <c r="Z26" s="777"/>
      <c r="AA26" s="780"/>
      <c r="AB26" s="777"/>
      <c r="AC26" s="777"/>
      <c r="AD26" s="777"/>
    </row>
    <row r="27" spans="1:30" ht="18" customHeight="1">
      <c r="A27" s="776"/>
      <c r="B27" s="829">
        <v>10</v>
      </c>
      <c r="C27" s="774" t="s">
        <v>659</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729</v>
      </c>
      <c r="P27" s="887" t="s">
        <v>723</v>
      </c>
      <c r="Q27" s="887" t="s">
        <v>2063</v>
      </c>
      <c r="R27" s="887" t="s">
        <v>723</v>
      </c>
      <c r="S27" s="887"/>
      <c r="T27" s="894" t="s">
        <v>2064</v>
      </c>
      <c r="U27" s="894" t="s">
        <v>2064</v>
      </c>
      <c r="V27" s="894" t="s">
        <v>2064</v>
      </c>
      <c r="W27" s="894" t="s">
        <v>2064</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731</v>
      </c>
      <c r="P28" s="887"/>
      <c r="Q28" s="887"/>
      <c r="R28" s="887"/>
      <c r="S28" s="887"/>
      <c r="T28" s="894" t="s">
        <v>2065</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738</v>
      </c>
      <c r="P29" s="887" t="s">
        <v>312</v>
      </c>
      <c r="Q29" s="887"/>
      <c r="R29" s="887" t="s">
        <v>312</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2066</v>
      </c>
      <c r="V29" s="777"/>
      <c r="W29" s="777" t="s">
        <v>2066</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740</v>
      </c>
      <c r="P30" s="887" t="s">
        <v>731</v>
      </c>
      <c r="Q30" s="887" t="s">
        <v>740</v>
      </c>
      <c r="R30" s="887" t="s">
        <v>731</v>
      </c>
      <c r="S30" s="887"/>
      <c r="T30" s="894" t="s">
        <v>2067</v>
      </c>
      <c r="U30" s="777" t="s">
        <v>2067</v>
      </c>
      <c r="V30" s="777" t="s">
        <v>2067</v>
      </c>
      <c r="W30" s="777" t="s">
        <v>2067</v>
      </c>
      <c r="X30" s="774"/>
      <c r="Y30" s="930"/>
      <c r="Z30" s="777"/>
      <c r="AA30" s="780" t="s">
        <v>2068</v>
      </c>
      <c r="AB30" s="780" t="s">
        <v>2068</v>
      </c>
      <c r="AC30" s="780" t="s">
        <v>2068</v>
      </c>
      <c r="AD30" s="777"/>
    </row>
    <row r="31" spans="1:30" ht="18" customHeight="1">
      <c r="A31" s="776"/>
      <c r="B31" s="829">
        <v>14</v>
      </c>
      <c r="C31" s="774" t="s">
        <v>2069</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2070</v>
      </c>
      <c r="P31" s="887" t="s">
        <v>734</v>
      </c>
      <c r="Q31" s="887" t="s">
        <v>2070</v>
      </c>
      <c r="R31" s="887" t="s">
        <v>734</v>
      </c>
      <c r="S31" s="887"/>
      <c r="T31" s="895" t="s">
        <v>2071</v>
      </c>
      <c r="U31" s="777" t="s">
        <v>2071</v>
      </c>
      <c r="V31" s="777" t="s">
        <v>2071</v>
      </c>
      <c r="W31" s="777" t="s">
        <v>2071</v>
      </c>
      <c r="X31" s="774"/>
      <c r="Y31" s="930"/>
      <c r="Z31" s="777"/>
      <c r="AA31" s="780"/>
      <c r="AB31" s="780"/>
      <c r="AC31" s="780"/>
      <c r="AD31" s="777"/>
    </row>
    <row r="32" spans="1:30" ht="36" customHeight="1">
      <c r="A32" s="776"/>
      <c r="B32" s="829">
        <v>15</v>
      </c>
      <c r="C32" s="774" t="s">
        <v>2072</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2073</v>
      </c>
      <c r="P32" s="887" t="s">
        <v>736</v>
      </c>
      <c r="Q32" s="887" t="s">
        <v>2073</v>
      </c>
      <c r="R32" s="887" t="s">
        <v>736</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2074</v>
      </c>
      <c r="V32" s="777" t="s">
        <v>2074</v>
      </c>
      <c r="W32" s="777" t="s">
        <v>2074</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742</v>
      </c>
      <c r="P33" s="887" t="s">
        <v>738</v>
      </c>
      <c r="Q33" s="887" t="s">
        <v>742</v>
      </c>
      <c r="R33" s="887" t="s">
        <v>738</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2075</v>
      </c>
      <c r="V33" s="777" t="s">
        <v>2075</v>
      </c>
      <c r="W33" s="777" t="s">
        <v>2076</v>
      </c>
      <c r="X33" s="774"/>
      <c r="Y33" s="930"/>
      <c r="Z33" s="777"/>
      <c r="AA33" s="780" t="s">
        <v>2077</v>
      </c>
      <c r="AB33" s="780" t="s">
        <v>2077</v>
      </c>
      <c r="AC33" s="780" t="s">
        <v>2077</v>
      </c>
      <c r="AD33" s="777"/>
    </row>
    <row r="34" spans="1:30" ht="27" customHeight="1">
      <c r="A34" s="776"/>
      <c r="B34" s="829">
        <v>17</v>
      </c>
      <c r="C34" s="774" t="s">
        <v>2078</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2079</v>
      </c>
      <c r="P34" s="887" t="s">
        <v>2061</v>
      </c>
      <c r="Q34" s="887" t="s">
        <v>2079</v>
      </c>
      <c r="R34" s="887" t="s">
        <v>2061</v>
      </c>
      <c r="S34" s="887"/>
      <c r="T34" s="896" t="s">
        <v>2080</v>
      </c>
      <c r="U34" s="777" t="s">
        <v>2080</v>
      </c>
      <c r="V34" s="777" t="s">
        <v>2080</v>
      </c>
      <c r="W34" s="777" t="s">
        <v>2081</v>
      </c>
      <c r="X34" s="774"/>
      <c r="Y34" s="930"/>
      <c r="Z34" s="777"/>
      <c r="AA34" s="780"/>
      <c r="AB34" s="777"/>
      <c r="AC34" s="777"/>
      <c r="AD34" s="777"/>
    </row>
    <row r="35" spans="1:30" ht="45" customHeight="1">
      <c r="A35" s="776"/>
      <c r="B35" s="829">
        <v>18</v>
      </c>
      <c r="C35" s="774" t="s">
        <v>2082</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2083</v>
      </c>
      <c r="P35" s="887" t="s">
        <v>2063</v>
      </c>
      <c r="Q35" s="887" t="s">
        <v>2083</v>
      </c>
      <c r="R35" s="887" t="s">
        <v>2063</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2084</v>
      </c>
      <c r="V35" s="777" t="s">
        <v>2084</v>
      </c>
      <c r="W35" s="777" t="s">
        <v>2084</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744</v>
      </c>
      <c r="P36" s="887" t="s">
        <v>740</v>
      </c>
      <c r="Q36" s="887" t="s">
        <v>744</v>
      </c>
      <c r="R36" s="887" t="s">
        <v>740</v>
      </c>
      <c r="S36" s="887"/>
      <c r="T36" s="894" t="s">
        <v>2085</v>
      </c>
      <c r="U36" s="777" t="s">
        <v>2085</v>
      </c>
      <c r="V36" s="777" t="s">
        <v>2085</v>
      </c>
      <c r="W36" s="777" t="s">
        <v>2085</v>
      </c>
      <c r="X36" s="774"/>
      <c r="Y36" s="930"/>
      <c r="Z36" s="777"/>
      <c r="AA36" s="780"/>
      <c r="AB36" s="777"/>
      <c r="AC36" s="777"/>
      <c r="AD36" s="777"/>
    </row>
    <row r="37" spans="1:30" ht="18" customHeight="1">
      <c r="A37" s="776"/>
      <c r="B37" s="829">
        <v>20</v>
      </c>
      <c r="C37" s="774" t="s">
        <v>2086</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2087</v>
      </c>
      <c r="P37" s="887" t="s">
        <v>2070</v>
      </c>
      <c r="Q37" s="887" t="s">
        <v>2087</v>
      </c>
      <c r="R37" s="887" t="s">
        <v>2070</v>
      </c>
      <c r="S37" s="887"/>
      <c r="T37" s="894" t="s">
        <v>2088</v>
      </c>
      <c r="U37" s="777" t="s">
        <v>2088</v>
      </c>
      <c r="V37" s="777" t="s">
        <v>2088</v>
      </c>
      <c r="W37" s="777" t="s">
        <v>2088</v>
      </c>
      <c r="X37" s="774"/>
      <c r="Y37" s="930"/>
      <c r="Z37" s="777"/>
      <c r="AA37" s="780"/>
      <c r="AB37" s="777"/>
      <c r="AC37" s="777"/>
      <c r="AD37" s="777"/>
    </row>
    <row r="38" spans="1:30" ht="18" customHeight="1">
      <c r="A38" s="776"/>
      <c r="B38" s="829">
        <v>21</v>
      </c>
      <c r="C38" s="774" t="s">
        <v>2089</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2090</v>
      </c>
      <c r="P38" s="887" t="s">
        <v>2073</v>
      </c>
      <c r="Q38" s="887" t="s">
        <v>2090</v>
      </c>
      <c r="R38" s="887" t="s">
        <v>2073</v>
      </c>
      <c r="S38" s="887"/>
      <c r="T38" s="894" t="s">
        <v>2091</v>
      </c>
      <c r="U38" s="777" t="s">
        <v>2091</v>
      </c>
      <c r="V38" s="777" t="s">
        <v>2091</v>
      </c>
      <c r="W38" s="777" t="s">
        <v>2091</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748</v>
      </c>
      <c r="P39" s="887" t="s">
        <v>742</v>
      </c>
      <c r="Q39" s="887" t="s">
        <v>748</v>
      </c>
      <c r="R39" s="887" t="s">
        <v>742</v>
      </c>
      <c r="S39" s="887"/>
      <c r="T39" s="894" t="s">
        <v>2092</v>
      </c>
      <c r="U39" s="777" t="s">
        <v>2093</v>
      </c>
      <c r="V39" s="777" t="s">
        <v>2094</v>
      </c>
      <c r="W39" s="777" t="s">
        <v>2095</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2096</v>
      </c>
      <c r="P40" s="887" t="s">
        <v>744</v>
      </c>
      <c r="Q40" s="887" t="s">
        <v>2096</v>
      </c>
      <c r="R40" s="887" t="s">
        <v>744</v>
      </c>
      <c r="S40" s="887"/>
      <c r="T40" s="774" t="s">
        <v>2097</v>
      </c>
      <c r="U40" s="774" t="s">
        <v>2097</v>
      </c>
      <c r="V40" s="774" t="s">
        <v>2097</v>
      </c>
      <c r="W40" s="774" t="s">
        <v>2097</v>
      </c>
      <c r="X40" s="774"/>
      <c r="Y40" s="930"/>
      <c r="Z40" s="777" t="s">
        <v>2098</v>
      </c>
      <c r="AA40" s="780" t="s">
        <v>2098</v>
      </c>
      <c r="AB40" s="780" t="s">
        <v>2098</v>
      </c>
      <c r="AC40" s="780" t="s">
        <v>2098</v>
      </c>
      <c r="AD40" s="777"/>
    </row>
    <row r="41" spans="1:30" ht="27" customHeight="1">
      <c r="A41" s="776"/>
      <c r="B41" s="829">
        <v>24</v>
      </c>
      <c r="C41" s="774" t="s">
        <v>2099</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2100</v>
      </c>
      <c r="P41" s="887" t="s">
        <v>2087</v>
      </c>
      <c r="Q41" s="887" t="s">
        <v>2100</v>
      </c>
      <c r="R41" s="887" t="s">
        <v>2087</v>
      </c>
      <c r="S41" s="887"/>
      <c r="T41" s="774" t="s">
        <v>2101</v>
      </c>
      <c r="U41" s="774" t="s">
        <v>2101</v>
      </c>
      <c r="V41" s="774" t="s">
        <v>2101</v>
      </c>
      <c r="W41" s="774" t="s">
        <v>2101</v>
      </c>
      <c r="X41" s="774"/>
      <c r="Y41" s="930"/>
      <c r="Z41" s="777" t="s">
        <v>2102</v>
      </c>
      <c r="AA41" s="777" t="s">
        <v>2102</v>
      </c>
      <c r="AB41" s="777" t="s">
        <v>2102</v>
      </c>
      <c r="AC41" s="777" t="s">
        <v>2102</v>
      </c>
      <c r="AD41" s="777"/>
    </row>
    <row r="42" spans="1:30" ht="27" customHeight="1">
      <c r="A42" s="776"/>
      <c r="B42" s="829">
        <v>25</v>
      </c>
      <c r="C42" s="774" t="s">
        <v>2103</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2104</v>
      </c>
      <c r="P42" s="887" t="s">
        <v>2090</v>
      </c>
      <c r="Q42" s="887" t="s">
        <v>2104</v>
      </c>
      <c r="R42" s="887" t="s">
        <v>2090</v>
      </c>
      <c r="S42" s="887"/>
      <c r="T42" s="774" t="s">
        <v>2105</v>
      </c>
      <c r="U42" s="774" t="s">
        <v>2105</v>
      </c>
      <c r="V42" s="774" t="s">
        <v>2105</v>
      </c>
      <c r="W42" s="774" t="s">
        <v>2105</v>
      </c>
      <c r="X42" s="774"/>
      <c r="Y42" s="930"/>
      <c r="Z42" s="777" t="s">
        <v>2106</v>
      </c>
      <c r="AA42" s="777" t="s">
        <v>2106</v>
      </c>
      <c r="AB42" s="777" t="s">
        <v>2106</v>
      </c>
      <c r="AC42" s="777" t="s">
        <v>2106</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2107</v>
      </c>
      <c r="P43" s="887" t="s">
        <v>748</v>
      </c>
      <c r="Q43" s="887" t="s">
        <v>2107</v>
      </c>
      <c r="R43" s="887" t="s">
        <v>748</v>
      </c>
      <c r="S43" s="887"/>
      <c r="T43" s="774" t="s">
        <v>2108</v>
      </c>
      <c r="U43" s="774" t="s">
        <v>2108</v>
      </c>
      <c r="V43" s="774" t="s">
        <v>2108</v>
      </c>
      <c r="W43" s="774" t="s">
        <v>2108</v>
      </c>
      <c r="X43" s="774"/>
      <c r="Y43" s="930"/>
      <c r="Z43" s="777" t="s">
        <v>2109</v>
      </c>
      <c r="AA43" s="777" t="s">
        <v>2109</v>
      </c>
      <c r="AB43" s="777" t="s">
        <v>2109</v>
      </c>
      <c r="AC43" s="777" t="s">
        <v>2109</v>
      </c>
      <c r="AD43" s="777"/>
    </row>
    <row r="44" spans="1:30" ht="27" customHeight="1">
      <c r="A44" s="776"/>
      <c r="B44" s="829">
        <v>27</v>
      </c>
      <c r="C44" s="774" t="s">
        <v>2110</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2111</v>
      </c>
      <c r="P44" s="887" t="s">
        <v>2112</v>
      </c>
      <c r="Q44" s="887" t="s">
        <v>2111</v>
      </c>
      <c r="R44" s="887" t="s">
        <v>2112</v>
      </c>
      <c r="S44" s="887"/>
      <c r="T44" s="774" t="s">
        <v>2101</v>
      </c>
      <c r="U44" s="774" t="s">
        <v>2101</v>
      </c>
      <c r="V44" s="774" t="s">
        <v>2101</v>
      </c>
      <c r="W44" s="774" t="s">
        <v>2101</v>
      </c>
      <c r="X44" s="774"/>
      <c r="Y44" s="930"/>
      <c r="Z44" s="777" t="s">
        <v>2113</v>
      </c>
      <c r="AA44" s="777" t="s">
        <v>2113</v>
      </c>
      <c r="AB44" s="777" t="s">
        <v>2113</v>
      </c>
      <c r="AC44" s="777" t="s">
        <v>2113</v>
      </c>
      <c r="AD44" s="777"/>
    </row>
    <row r="45" spans="1:30" ht="27" customHeight="1">
      <c r="A45" s="776"/>
      <c r="B45" s="829">
        <v>28</v>
      </c>
      <c r="C45" s="774" t="s">
        <v>2114</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2115</v>
      </c>
      <c r="P45" s="887" t="s">
        <v>2116</v>
      </c>
      <c r="Q45" s="887" t="s">
        <v>2115</v>
      </c>
      <c r="R45" s="887" t="s">
        <v>2116</v>
      </c>
      <c r="S45" s="887"/>
      <c r="T45" s="774" t="s">
        <v>2105</v>
      </c>
      <c r="U45" s="774" t="s">
        <v>2105</v>
      </c>
      <c r="V45" s="774" t="s">
        <v>2105</v>
      </c>
      <c r="W45" s="774" t="s">
        <v>2105</v>
      </c>
      <c r="X45" s="774"/>
      <c r="Y45" s="930"/>
      <c r="Z45" s="777" t="s">
        <v>2117</v>
      </c>
      <c r="AA45" s="777" t="s">
        <v>2117</v>
      </c>
      <c r="AB45" s="777" t="s">
        <v>2117</v>
      </c>
      <c r="AC45" s="777" t="s">
        <v>2117</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2118</v>
      </c>
      <c r="P46" s="887" t="s">
        <v>2096</v>
      </c>
      <c r="Q46" s="887" t="s">
        <v>2118</v>
      </c>
      <c r="R46" s="887" t="s">
        <v>2096</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2119</v>
      </c>
      <c r="V46" s="774" t="s">
        <v>2119</v>
      </c>
      <c r="W46" s="774" t="s">
        <v>2119</v>
      </c>
      <c r="X46" s="774"/>
      <c r="Y46" s="930"/>
      <c r="Z46" s="777" t="s">
        <v>2120</v>
      </c>
      <c r="AA46" s="777" t="s">
        <v>2121</v>
      </c>
      <c r="AB46" s="777" t="s">
        <v>2121</v>
      </c>
      <c r="AC46" s="777" t="s">
        <v>2121</v>
      </c>
      <c r="AD46" s="777"/>
    </row>
    <row r="47" spans="1:30" ht="54" customHeight="1">
      <c r="A47" s="776"/>
      <c r="B47" s="829">
        <v>30</v>
      </c>
      <c r="C47" s="774" t="s">
        <v>2122</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2123</v>
      </c>
      <c r="P47" s="887" t="s">
        <v>2100</v>
      </c>
      <c r="Q47" s="887" t="s">
        <v>2123</v>
      </c>
      <c r="R47" s="887" t="s">
        <v>2100</v>
      </c>
      <c r="S47" s="887"/>
      <c r="T47" s="774" t="s">
        <v>2124</v>
      </c>
      <c r="U47" s="774" t="s">
        <v>2124</v>
      </c>
      <c r="V47" s="774" t="s">
        <v>2124</v>
      </c>
      <c r="W47" s="774" t="s">
        <v>2124</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2107</v>
      </c>
      <c r="Q48" s="887" t="s">
        <v>2125</v>
      </c>
      <c r="R48" s="887" t="s">
        <v>2107</v>
      </c>
      <c r="S48" s="887"/>
      <c r="T48" s="774"/>
      <c r="U48" s="774" t="s">
        <v>2126</v>
      </c>
      <c r="V48" s="774" t="s">
        <v>2127</v>
      </c>
      <c r="W48" s="774" t="s">
        <v>2127</v>
      </c>
      <c r="X48" s="774"/>
      <c r="Y48" s="930"/>
      <c r="Z48" s="777"/>
      <c r="AA48" s="780" t="s">
        <v>2121</v>
      </c>
      <c r="AB48" s="780" t="s">
        <v>2121</v>
      </c>
      <c r="AC48" s="780" t="s">
        <v>2121</v>
      </c>
      <c r="AD48" s="777"/>
    </row>
    <row r="49" spans="1:30" ht="54" customHeight="1">
      <c r="A49" s="776"/>
      <c r="B49" s="829">
        <v>32</v>
      </c>
      <c r="C49" s="774" t="s">
        <v>2128</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2111</v>
      </c>
      <c r="Q49" s="887" t="s">
        <v>2129</v>
      </c>
      <c r="R49" s="887" t="s">
        <v>2111</v>
      </c>
      <c r="S49" s="887"/>
      <c r="T49" s="774"/>
      <c r="U49" s="774" t="s">
        <v>2124</v>
      </c>
      <c r="V49" s="774" t="s">
        <v>2124</v>
      </c>
      <c r="W49" s="774" t="s">
        <v>2124</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2125</v>
      </c>
      <c r="P50" s="887" t="s">
        <v>2118</v>
      </c>
      <c r="Q50" s="887" t="s">
        <v>2130</v>
      </c>
      <c r="R50" s="887" t="s">
        <v>2118</v>
      </c>
      <c r="S50" s="887"/>
      <c r="T50" s="774" t="s">
        <v>2131</v>
      </c>
      <c r="U50" s="774" t="s">
        <v>2132</v>
      </c>
      <c r="V50" s="774" t="s">
        <v>2133</v>
      </c>
      <c r="W50" s="774" t="s">
        <v>2134</v>
      </c>
      <c r="X50" s="774"/>
      <c r="Y50" s="930"/>
      <c r="Z50" s="777" t="s">
        <v>2135</v>
      </c>
      <c r="AA50" s="780" t="s">
        <v>2136</v>
      </c>
      <c r="AB50" s="780" t="s">
        <v>2136</v>
      </c>
      <c r="AC50" s="780" t="s">
        <v>2136</v>
      </c>
      <c r="AD50" s="777"/>
    </row>
    <row r="51" spans="1:30" ht="27" customHeight="1">
      <c r="A51" s="776"/>
      <c r="B51" s="829">
        <v>34</v>
      </c>
      <c r="C51" s="774" t="s">
        <v>2137</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2138</v>
      </c>
      <c r="U51" s="774"/>
      <c r="V51" s="774"/>
      <c r="W51" s="774"/>
      <c r="X51" s="774"/>
      <c r="Y51" s="930"/>
      <c r="Z51" s="777"/>
      <c r="AA51" s="780"/>
      <c r="AB51" s="780"/>
      <c r="AC51" s="780"/>
      <c r="AD51" s="777"/>
    </row>
    <row r="52" spans="1:30" ht="36" customHeight="1">
      <c r="A52" s="776"/>
      <c r="B52" s="829">
        <v>35</v>
      </c>
      <c r="C52" s="774" t="s">
        <v>2031</v>
      </c>
      <c r="D52" s="897" t="s">
        <v>2031</v>
      </c>
      <c r="E52" s="774" t="s">
        <v>2031</v>
      </c>
      <c r="F52" s="774" t="s">
        <v>2031</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2139</v>
      </c>
      <c r="U52" s="774" t="s">
        <v>2140</v>
      </c>
      <c r="V52" s="774" t="s">
        <v>2141</v>
      </c>
      <c r="W52" s="774" t="s">
        <v>2142</v>
      </c>
      <c r="X52" s="774"/>
      <c r="Y52" s="930"/>
      <c r="Z52" s="777" t="s">
        <v>752</v>
      </c>
      <c r="AA52" s="780" t="s">
        <v>752</v>
      </c>
      <c r="AB52" s="780" t="s">
        <v>752</v>
      </c>
      <c r="AC52" s="780" t="s">
        <v>752</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756</v>
      </c>
      <c r="P53" s="887" t="s">
        <v>326</v>
      </c>
      <c r="Q53" s="887" t="s">
        <v>326</v>
      </c>
      <c r="R53" s="887" t="s">
        <v>326</v>
      </c>
      <c r="S53" s="887"/>
      <c r="T53" s="774" t="s">
        <v>2143</v>
      </c>
      <c r="U53" s="774" t="s">
        <v>2143</v>
      </c>
      <c r="V53" s="774" t="s">
        <v>2143</v>
      </c>
      <c r="W53" s="774" t="s">
        <v>2143</v>
      </c>
      <c r="X53" s="774"/>
      <c r="Y53" s="930"/>
      <c r="Z53" s="777"/>
      <c r="AA53" s="780"/>
      <c r="AB53" s="777"/>
      <c r="AC53" s="777"/>
      <c r="AD53" s="777"/>
    </row>
    <row r="54" spans="1:30" ht="18" customHeight="1">
      <c r="A54" s="776"/>
      <c r="B54" s="829">
        <v>37</v>
      </c>
      <c r="C54" s="774" t="s">
        <v>2037</v>
      </c>
      <c r="D54" s="897" t="s">
        <v>2037</v>
      </c>
      <c r="E54" s="774" t="s">
        <v>2037</v>
      </c>
      <c r="F54" s="774" t="s">
        <v>2037</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754</v>
      </c>
      <c r="U54" s="774" t="s">
        <v>754</v>
      </c>
      <c r="V54" s="774" t="s">
        <v>754</v>
      </c>
      <c r="W54" s="774" t="s">
        <v>754</v>
      </c>
      <c r="X54" s="774"/>
      <c r="Y54" s="930"/>
      <c r="Z54" s="777" t="s">
        <v>755</v>
      </c>
      <c r="AA54" s="777" t="s">
        <v>755</v>
      </c>
      <c r="AB54" s="777" t="s">
        <v>755</v>
      </c>
      <c r="AC54" s="777" t="s">
        <v>755</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315</v>
      </c>
      <c r="P55" s="887" t="s">
        <v>756</v>
      </c>
      <c r="Q55" s="887" t="s">
        <v>756</v>
      </c>
      <c r="R55" s="887" t="s">
        <v>756</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2144</v>
      </c>
      <c r="V55" s="774" t="s">
        <v>2144</v>
      </c>
      <c r="W55" s="774" t="s">
        <v>2144</v>
      </c>
      <c r="X55" s="774"/>
      <c r="Y55" s="930"/>
      <c r="Z55" s="777" t="s">
        <v>2145</v>
      </c>
      <c r="AA55" s="777" t="s">
        <v>2145</v>
      </c>
      <c r="AB55" s="777" t="s">
        <v>2145</v>
      </c>
      <c r="AC55" s="777" t="s">
        <v>2145</v>
      </c>
      <c r="AD55" s="777"/>
    </row>
    <row r="56" spans="1:30" ht="27" customHeight="1">
      <c r="A56" s="776"/>
      <c r="B56" s="829">
        <v>39</v>
      </c>
      <c r="C56" s="774" t="s">
        <v>1024</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1142</v>
      </c>
      <c r="P56" s="887" t="s">
        <v>759</v>
      </c>
      <c r="Q56" s="887" t="s">
        <v>759</v>
      </c>
      <c r="R56" s="887" t="s">
        <v>759</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2146</v>
      </c>
      <c r="V56" s="774" t="s">
        <v>2146</v>
      </c>
      <c r="W56" s="774" t="s">
        <v>2146</v>
      </c>
      <c r="X56" s="774"/>
      <c r="Y56" s="930"/>
      <c r="Z56" s="777" t="s">
        <v>761</v>
      </c>
      <c r="AA56" s="777" t="s">
        <v>761</v>
      </c>
      <c r="AB56" s="777" t="s">
        <v>761</v>
      </c>
      <c r="AC56" s="777" t="s">
        <v>761</v>
      </c>
      <c r="AD56" s="777"/>
    </row>
    <row r="57" spans="1:30" ht="27" customHeight="1">
      <c r="A57" s="776"/>
      <c r="B57" s="829">
        <v>40</v>
      </c>
      <c r="C57" s="774" t="s">
        <v>1026</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2147</v>
      </c>
      <c r="P57" s="887" t="s">
        <v>762</v>
      </c>
      <c r="Q57" s="887" t="s">
        <v>762</v>
      </c>
      <c r="R57" s="887" t="s">
        <v>762</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2148</v>
      </c>
      <c r="V57" s="774" t="s">
        <v>2148</v>
      </c>
      <c r="W57" s="774" t="s">
        <v>2148</v>
      </c>
      <c r="X57" s="774"/>
      <c r="Y57" s="930"/>
      <c r="Z57" s="777" t="s">
        <v>764</v>
      </c>
      <c r="AA57" s="777" t="s">
        <v>764</v>
      </c>
      <c r="AB57" s="777" t="s">
        <v>764</v>
      </c>
      <c r="AC57" s="777" t="s">
        <v>764</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884</v>
      </c>
      <c r="P58" s="887" t="s">
        <v>798</v>
      </c>
      <c r="Q58" s="887" t="s">
        <v>798</v>
      </c>
      <c r="R58" s="887" t="s">
        <v>798</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2149</v>
      </c>
      <c r="V58" s="774" t="s">
        <v>2149</v>
      </c>
      <c r="W58" s="774" t="s">
        <v>2149</v>
      </c>
      <c r="X58" s="774"/>
      <c r="Y58" s="930"/>
      <c r="Z58" s="777"/>
      <c r="AA58" s="780"/>
      <c r="AB58" s="777"/>
      <c r="AC58" s="777"/>
      <c r="AD58" s="777"/>
    </row>
    <row r="59" spans="1:30" ht="36" customHeight="1">
      <c r="A59" s="776"/>
      <c r="B59" s="829">
        <v>42</v>
      </c>
      <c r="C59" s="774">
        <v>3</v>
      </c>
      <c r="D59" s="897" t="s">
        <v>2137</v>
      </c>
      <c r="E59" s="774" t="s">
        <v>2137</v>
      </c>
      <c r="F59" s="774" t="s">
        <v>2137</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2150</v>
      </c>
      <c r="V59" s="774" t="s">
        <v>2151</v>
      </c>
      <c r="W59" s="774" t="s">
        <v>2152</v>
      </c>
      <c r="X59" s="774"/>
      <c r="Y59" s="930"/>
      <c r="Z59" s="777"/>
      <c r="AA59" s="780"/>
      <c r="AB59" s="777"/>
      <c r="AC59" s="777"/>
      <c r="AD59" s="777"/>
    </row>
    <row r="60" spans="1:30" ht="81" customHeight="1">
      <c r="A60" s="776"/>
      <c r="B60" s="829">
        <v>43</v>
      </c>
      <c r="C60" s="774" t="s">
        <v>2153</v>
      </c>
      <c r="D60" s="897" t="s">
        <v>2153</v>
      </c>
      <c r="E60" s="774" t="s">
        <v>2153</v>
      </c>
      <c r="F60" s="774" t="s">
        <v>2153</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632</v>
      </c>
      <c r="U60" s="774" t="s">
        <v>632</v>
      </c>
      <c r="V60" s="774" t="s">
        <v>632</v>
      </c>
      <c r="W60" s="774" t="s">
        <v>632</v>
      </c>
      <c r="X60" s="774"/>
      <c r="Y60" s="930"/>
      <c r="Z60" s="777" t="s">
        <v>2154</v>
      </c>
      <c r="AA60" s="780" t="s">
        <v>2155</v>
      </c>
      <c r="AB60" s="777" t="s">
        <v>2156</v>
      </c>
      <c r="AC60" s="777" t="s">
        <v>2155</v>
      </c>
      <c r="AD60" s="777"/>
    </row>
    <row r="61" spans="1:30" ht="9" customHeight="1">
      <c r="A61" s="776"/>
      <c r="B61" s="829">
        <v>44</v>
      </c>
      <c r="C61" s="774"/>
      <c r="D61" s="897" t="s">
        <v>2157</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2158</v>
      </c>
      <c r="V61" s="774"/>
      <c r="W61" s="774"/>
      <c r="X61" s="774"/>
      <c r="Y61" s="930"/>
      <c r="Z61" s="777"/>
      <c r="AA61" s="780"/>
      <c r="AB61" s="777"/>
      <c r="AC61" s="777"/>
      <c r="AD61" s="777"/>
    </row>
    <row r="62" spans="1:30" ht="9" customHeight="1">
      <c r="A62" s="776"/>
      <c r="B62" s="829">
        <v>45</v>
      </c>
      <c r="C62" s="774"/>
      <c r="D62" s="897" t="s">
        <v>2159</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2160</v>
      </c>
      <c r="V62" s="774"/>
      <c r="W62" s="774"/>
      <c r="X62" s="774"/>
      <c r="Y62" s="930"/>
      <c r="Z62" s="777"/>
      <c r="AA62" s="780"/>
      <c r="AB62" s="777"/>
      <c r="AC62" s="777"/>
      <c r="AD62" s="777"/>
    </row>
    <row r="63" spans="1:30" ht="18" customHeight="1">
      <c r="A63" s="776"/>
      <c r="B63" s="829">
        <v>46</v>
      </c>
      <c r="C63" s="774"/>
      <c r="D63" s="897" t="s">
        <v>2161</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152</v>
      </c>
      <c r="Q63" s="887"/>
      <c r="R63" s="887"/>
      <c r="S63" s="887"/>
      <c r="T63" s="774"/>
      <c r="U63" s="774" t="s">
        <v>2162</v>
      </c>
      <c r="V63" s="774"/>
      <c r="W63" s="774"/>
      <c r="X63" s="774"/>
      <c r="Y63" s="930"/>
      <c r="Z63" s="777"/>
      <c r="AA63" s="780"/>
      <c r="AB63" s="777"/>
      <c r="AC63" s="777"/>
      <c r="AD63" s="777"/>
    </row>
    <row r="64" spans="1:30" ht="18" customHeight="1">
      <c r="A64" s="776"/>
      <c r="B64" s="829">
        <v>47</v>
      </c>
      <c r="C64" s="774"/>
      <c r="D64" s="897" t="s">
        <v>2163</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153</v>
      </c>
      <c r="Q64" s="887"/>
      <c r="R64" s="887"/>
      <c r="S64" s="887"/>
      <c r="T64" s="774"/>
      <c r="U64" s="774" t="s">
        <v>2164</v>
      </c>
      <c r="V64" s="774"/>
      <c r="W64" s="774"/>
      <c r="X64" s="774"/>
      <c r="Y64" s="930"/>
      <c r="Z64" s="777"/>
      <c r="AA64" s="780" t="s">
        <v>2165</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2078</v>
      </c>
      <c r="Q65" s="887"/>
      <c r="R65" s="887"/>
      <c r="S65" s="887"/>
      <c r="T65" s="774"/>
      <c r="U65" s="774" t="s">
        <v>2166</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2082</v>
      </c>
      <c r="Q66" s="887"/>
      <c r="R66" s="887"/>
      <c r="S66" s="887"/>
      <c r="T66" s="774"/>
      <c r="U66" s="774" t="s">
        <v>2167</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2168</v>
      </c>
      <c r="Q67" s="887"/>
      <c r="R67" s="887"/>
      <c r="S67" s="887"/>
      <c r="T67" s="774"/>
      <c r="U67" s="774" t="s">
        <v>2169</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2170</v>
      </c>
      <c r="Q68" s="887"/>
      <c r="R68" s="887"/>
      <c r="S68" s="887"/>
      <c r="T68" s="774"/>
      <c r="U68" s="774" t="s">
        <v>2171</v>
      </c>
      <c r="V68" s="774"/>
      <c r="W68" s="774"/>
      <c r="X68" s="774"/>
      <c r="Y68" s="930"/>
      <c r="Z68" s="777"/>
      <c r="AA68" s="780"/>
      <c r="AB68" s="777"/>
      <c r="AC68" s="777"/>
      <c r="AD68" s="777"/>
    </row>
    <row r="69" spans="1:30" ht="9" customHeight="1">
      <c r="A69" s="776"/>
      <c r="B69" s="829">
        <v>52</v>
      </c>
      <c r="C69" s="774"/>
      <c r="D69" s="897" t="s">
        <v>2172</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154</v>
      </c>
      <c r="Q69" s="887"/>
      <c r="R69" s="887"/>
      <c r="S69" s="887"/>
      <c r="T69" s="774"/>
      <c r="U69" s="774" t="s">
        <v>2173</v>
      </c>
      <c r="V69" s="774"/>
      <c r="W69" s="774"/>
      <c r="X69" s="774"/>
      <c r="Y69" s="930"/>
      <c r="Z69" s="777"/>
      <c r="AA69" s="780"/>
      <c r="AB69" s="777"/>
      <c r="AC69" s="777"/>
      <c r="AD69" s="777"/>
    </row>
    <row r="70" spans="1:30" ht="27" customHeight="1">
      <c r="A70" s="776"/>
      <c r="B70" s="829">
        <v>53</v>
      </c>
      <c r="C70" s="774"/>
      <c r="D70" s="897"/>
      <c r="E70" s="774" t="s">
        <v>2157</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2174</v>
      </c>
      <c r="W70" s="774"/>
      <c r="X70" s="774"/>
      <c r="Y70" s="930"/>
      <c r="Z70" s="777"/>
      <c r="AA70" s="780"/>
      <c r="AB70" s="777"/>
      <c r="AC70" s="777"/>
      <c r="AD70" s="777"/>
    </row>
    <row r="71" spans="1:30" ht="36" customHeight="1">
      <c r="A71" s="776"/>
      <c r="B71" s="829">
        <v>54</v>
      </c>
      <c r="C71" s="774"/>
      <c r="D71" s="897"/>
      <c r="E71" s="774" t="s">
        <v>2159</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2175</v>
      </c>
      <c r="W71" s="774"/>
      <c r="X71" s="774"/>
      <c r="Y71" s="930"/>
      <c r="Z71" s="777"/>
      <c r="AA71" s="780"/>
      <c r="AB71" s="777"/>
      <c r="AC71" s="777"/>
      <c r="AD71" s="777"/>
    </row>
    <row r="72" spans="1:30" ht="27" customHeight="1">
      <c r="A72" s="776"/>
      <c r="B72" s="829">
        <v>55</v>
      </c>
      <c r="C72" s="774"/>
      <c r="D72" s="897"/>
      <c r="E72" s="774" t="s">
        <v>2161</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152</v>
      </c>
      <c r="R72" s="887"/>
      <c r="S72" s="887"/>
      <c r="T72" s="774"/>
      <c r="U72" s="774"/>
      <c r="V72" s="774" t="s">
        <v>2176</v>
      </c>
      <c r="W72" s="774"/>
      <c r="X72" s="774"/>
      <c r="Y72" s="930"/>
      <c r="Z72" s="777"/>
      <c r="AA72" s="780"/>
      <c r="AB72" s="777"/>
      <c r="AC72" s="777"/>
      <c r="AD72" s="777"/>
    </row>
    <row r="73" spans="1:30" ht="36" customHeight="1">
      <c r="A73" s="776"/>
      <c r="B73" s="829">
        <v>56</v>
      </c>
      <c r="C73" s="774"/>
      <c r="D73" s="897"/>
      <c r="E73" s="774" t="s">
        <v>2163</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153</v>
      </c>
      <c r="R73" s="887"/>
      <c r="S73" s="887"/>
      <c r="T73" s="774"/>
      <c r="U73" s="774"/>
      <c r="V73" s="774" t="s">
        <v>2177</v>
      </c>
      <c r="W73" s="774"/>
      <c r="X73" s="774"/>
      <c r="Y73" s="930"/>
      <c r="Z73" s="777"/>
      <c r="AA73" s="780"/>
      <c r="AB73" s="777"/>
      <c r="AC73" s="777"/>
      <c r="AD73" s="777"/>
    </row>
    <row r="74" spans="1:30" ht="18" customHeight="1">
      <c r="A74" s="776"/>
      <c r="B74" s="829">
        <v>57</v>
      </c>
      <c r="C74" s="774"/>
      <c r="D74" s="897"/>
      <c r="E74" s="774" t="s">
        <v>2172</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154</v>
      </c>
      <c r="R74" s="887"/>
      <c r="S74" s="887"/>
      <c r="T74" s="774"/>
      <c r="U74" s="774"/>
      <c r="V74" s="774" t="s">
        <v>2178</v>
      </c>
      <c r="W74" s="774"/>
      <c r="X74" s="774"/>
      <c r="Y74" s="930"/>
      <c r="Z74" s="777"/>
      <c r="AA74" s="780"/>
      <c r="AB74" s="777"/>
      <c r="AC74" s="777"/>
      <c r="AD74" s="777"/>
    </row>
    <row r="75" spans="1:30" ht="18" customHeight="1">
      <c r="A75" s="776"/>
      <c r="B75" s="829">
        <v>58</v>
      </c>
      <c r="C75" s="774"/>
      <c r="D75" s="897"/>
      <c r="E75" s="774"/>
      <c r="F75" s="774" t="s">
        <v>2157</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2179</v>
      </c>
      <c r="X75" s="774"/>
      <c r="Y75" s="930"/>
      <c r="Z75" s="777"/>
      <c r="AA75" s="780"/>
      <c r="AB75" s="777"/>
      <c r="AC75" s="777"/>
      <c r="AD75" s="777"/>
    </row>
    <row r="76" spans="1:30" ht="36" customHeight="1">
      <c r="A76" s="776"/>
      <c r="B76" s="829">
        <v>59</v>
      </c>
      <c r="C76" s="774"/>
      <c r="D76" s="897"/>
      <c r="E76" s="774"/>
      <c r="F76" s="774" t="s">
        <v>2159</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2180</v>
      </c>
      <c r="X76" s="774"/>
      <c r="Y76" s="930"/>
      <c r="Z76" s="777"/>
      <c r="AA76" s="780"/>
      <c r="AB76" s="777"/>
      <c r="AC76" s="777"/>
      <c r="AD76" s="777"/>
    </row>
    <row r="77" spans="1:30" ht="18" customHeight="1">
      <c r="A77" s="776"/>
      <c r="B77" s="829">
        <v>60</v>
      </c>
      <c r="C77" s="774"/>
      <c r="D77" s="897"/>
      <c r="E77" s="774"/>
      <c r="F77" s="774" t="s">
        <v>2161</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152</v>
      </c>
      <c r="S77" s="887"/>
      <c r="T77" s="774"/>
      <c r="U77" s="774"/>
      <c r="V77" s="774"/>
      <c r="W77" s="774" t="s">
        <v>2181</v>
      </c>
      <c r="X77" s="774"/>
      <c r="Y77" s="930"/>
      <c r="Z77" s="777"/>
      <c r="AA77" s="780"/>
      <c r="AB77" s="777"/>
      <c r="AC77" s="777"/>
      <c r="AD77" s="777"/>
    </row>
    <row r="78" spans="1:30" ht="72" customHeight="1">
      <c r="A78" s="776"/>
      <c r="B78" s="829">
        <v>61</v>
      </c>
      <c r="C78" s="774" t="s">
        <v>2157</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637</v>
      </c>
      <c r="U78" s="774"/>
      <c r="V78" s="774"/>
      <c r="W78" s="774"/>
      <c r="X78" s="774"/>
      <c r="Y78" s="930"/>
      <c r="Z78" s="777" t="s">
        <v>2182</v>
      </c>
      <c r="AA78" s="780"/>
      <c r="AB78" s="777"/>
      <c r="AC78" s="777"/>
      <c r="AD78" s="777"/>
    </row>
    <row r="79" spans="1:30" ht="36" customHeight="1">
      <c r="A79" s="776"/>
      <c r="B79" s="829">
        <v>62</v>
      </c>
      <c r="C79" s="774" t="s">
        <v>2159</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2183</v>
      </c>
      <c r="U79" s="774"/>
      <c r="V79" s="774"/>
      <c r="W79" s="774"/>
      <c r="X79" s="774"/>
      <c r="Y79" s="930"/>
      <c r="Z79" s="777" t="s">
        <v>2184</v>
      </c>
      <c r="AA79" s="780"/>
      <c r="AB79" s="777"/>
      <c r="AC79" s="777"/>
      <c r="AD79" s="777"/>
    </row>
    <row r="80" spans="1:30" ht="45" customHeight="1">
      <c r="A80" s="776"/>
      <c r="B80" s="829">
        <v>63</v>
      </c>
      <c r="C80" s="774" t="s">
        <v>2161</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152</v>
      </c>
      <c r="P80" s="887"/>
      <c r="Q80" s="887"/>
      <c r="R80" s="887"/>
      <c r="S80" s="887"/>
      <c r="T80" s="774" t="s">
        <v>2185</v>
      </c>
      <c r="U80" s="774"/>
      <c r="V80" s="774"/>
      <c r="W80" s="774"/>
      <c r="X80" s="774"/>
      <c r="Y80" s="930"/>
      <c r="Z80" s="777" t="s">
        <v>2186</v>
      </c>
      <c r="AA80" s="780"/>
      <c r="AB80" s="777"/>
      <c r="AC80" s="777"/>
      <c r="AD80" s="777"/>
    </row>
    <row r="81" spans="1:30" ht="36" customHeight="1">
      <c r="A81" s="776"/>
      <c r="B81" s="829">
        <v>64</v>
      </c>
      <c r="C81" s="774" t="s">
        <v>2163</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2069</v>
      </c>
      <c r="P81" s="887"/>
      <c r="Q81" s="887"/>
      <c r="R81" s="887"/>
      <c r="S81" s="887"/>
      <c r="T81" s="774" t="s">
        <v>2187</v>
      </c>
      <c r="U81" s="774"/>
      <c r="V81" s="774"/>
      <c r="W81" s="774"/>
      <c r="X81" s="774"/>
      <c r="Y81" s="930"/>
      <c r="Z81" s="777" t="s">
        <v>2188</v>
      </c>
      <c r="AA81" s="780"/>
      <c r="AB81" s="777"/>
      <c r="AC81" s="777"/>
      <c r="AD81" s="777"/>
    </row>
    <row r="82" spans="1:30" ht="90" customHeight="1">
      <c r="A82" s="776"/>
      <c r="B82" s="829">
        <v>65</v>
      </c>
      <c r="C82" s="774" t="s">
        <v>2172</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153</v>
      </c>
      <c r="P82" s="887"/>
      <c r="Q82" s="887"/>
      <c r="R82" s="887"/>
      <c r="S82" s="887"/>
      <c r="T82" s="774" t="s">
        <v>2189</v>
      </c>
      <c r="U82" s="774"/>
      <c r="V82" s="774"/>
      <c r="W82" s="774"/>
      <c r="X82" s="774"/>
      <c r="Y82" s="930"/>
      <c r="Z82" s="777" t="s">
        <v>2190</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2078</v>
      </c>
      <c r="P83" s="887"/>
      <c r="Q83" s="887"/>
      <c r="R83" s="887"/>
      <c r="S83" s="887"/>
      <c r="T83" s="774" t="s">
        <v>2191</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2192</v>
      </c>
      <c r="P84" s="887"/>
      <c r="Q84" s="887"/>
      <c r="R84" s="887"/>
      <c r="S84" s="887"/>
      <c r="T84" s="774" t="s">
        <v>2193</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2082</v>
      </c>
      <c r="P85" s="887"/>
      <c r="Q85" s="887"/>
      <c r="R85" s="887"/>
      <c r="S85" s="887"/>
      <c r="T85" s="774" t="s">
        <v>2194</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2195</v>
      </c>
      <c r="P86" s="887"/>
      <c r="Q86" s="887"/>
      <c r="R86" s="887"/>
      <c r="S86" s="887"/>
      <c r="T86" s="774" t="s">
        <v>2196</v>
      </c>
      <c r="U86" s="774"/>
      <c r="V86" s="774"/>
      <c r="W86" s="774"/>
      <c r="X86" s="774"/>
      <c r="Y86" s="930"/>
      <c r="Z86" s="777"/>
      <c r="AA86" s="780"/>
      <c r="AB86" s="777"/>
      <c r="AC86" s="777"/>
      <c r="AD86" s="777"/>
    </row>
    <row r="87" spans="1:30" ht="36" customHeight="1">
      <c r="A87" s="776"/>
      <c r="B87" s="829">
        <v>70</v>
      </c>
      <c r="C87" s="774" t="s">
        <v>2197</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154</v>
      </c>
      <c r="P87" s="887"/>
      <c r="Q87" s="887"/>
      <c r="R87" s="887"/>
      <c r="S87" s="887"/>
      <c r="T87" s="774" t="s">
        <v>2198</v>
      </c>
      <c r="U87" s="774"/>
      <c r="V87" s="774"/>
      <c r="W87" s="774"/>
      <c r="X87" s="774"/>
      <c r="Y87" s="930"/>
      <c r="Z87" s="777"/>
      <c r="AA87" s="780"/>
      <c r="AB87" s="777"/>
      <c r="AC87" s="777"/>
      <c r="AD87" s="777"/>
    </row>
    <row r="88" spans="1:30" ht="18" customHeight="1">
      <c r="A88" s="776"/>
      <c r="B88" s="829">
        <v>71</v>
      </c>
      <c r="C88" s="774" t="s">
        <v>2199</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155</v>
      </c>
      <c r="P88" s="887"/>
      <c r="Q88" s="887"/>
      <c r="R88" s="887"/>
      <c r="S88" s="887"/>
      <c r="T88" s="774" t="s">
        <v>669</v>
      </c>
      <c r="U88" s="774"/>
      <c r="V88" s="774"/>
      <c r="W88" s="774"/>
      <c r="X88" s="774"/>
      <c r="Y88" s="930"/>
      <c r="Z88" s="777"/>
      <c r="AA88" s="780"/>
      <c r="AB88" s="777"/>
      <c r="AC88" s="777"/>
      <c r="AD88" s="777"/>
    </row>
    <row r="89" spans="1:30" ht="18" customHeight="1">
      <c r="A89" s="776"/>
      <c r="B89" s="829">
        <v>72</v>
      </c>
      <c r="C89" s="774" t="s">
        <v>2200</v>
      </c>
      <c r="D89" s="897" t="s">
        <v>2197</v>
      </c>
      <c r="E89" s="774" t="s">
        <v>2197</v>
      </c>
      <c r="F89" s="774" t="s">
        <v>2163</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156</v>
      </c>
      <c r="P89" s="887" t="s">
        <v>155</v>
      </c>
      <c r="Q89" s="887" t="s">
        <v>155</v>
      </c>
      <c r="R89" s="887" t="s">
        <v>153</v>
      </c>
      <c r="S89" s="887"/>
      <c r="T89" s="774" t="s">
        <v>677</v>
      </c>
      <c r="U89" s="774" t="s">
        <v>677</v>
      </c>
      <c r="V89" s="774" t="s">
        <v>677</v>
      </c>
      <c r="W89" s="774" t="s">
        <v>677</v>
      </c>
      <c r="X89" s="774"/>
      <c r="Y89" s="930"/>
      <c r="Z89" s="777"/>
      <c r="AA89" s="780"/>
      <c r="AB89" s="777"/>
      <c r="AC89" s="777"/>
      <c r="AD89" s="777"/>
    </row>
    <row r="90" spans="1:30" ht="27" customHeight="1">
      <c r="A90" s="776"/>
      <c r="B90" s="829">
        <v>73</v>
      </c>
      <c r="C90" s="774" t="s">
        <v>2201</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157</v>
      </c>
      <c r="P90" s="887"/>
      <c r="Q90" s="887"/>
      <c r="R90" s="887"/>
      <c r="S90" s="887"/>
      <c r="T90" s="774" t="s">
        <v>679</v>
      </c>
      <c r="U90" s="774"/>
      <c r="V90" s="774"/>
      <c r="W90" s="774"/>
      <c r="X90" s="774"/>
      <c r="Y90" s="930"/>
      <c r="Z90" s="777"/>
      <c r="AA90" s="780"/>
      <c r="AB90" s="777"/>
      <c r="AC90" s="777"/>
      <c r="AD90" s="777"/>
    </row>
    <row r="91" spans="1:30" ht="18" customHeight="1">
      <c r="A91" s="776"/>
      <c r="B91" s="829">
        <v>74</v>
      </c>
      <c r="C91" s="774"/>
      <c r="D91" s="897" t="s">
        <v>2199</v>
      </c>
      <c r="E91" s="774" t="s">
        <v>2199</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156</v>
      </c>
      <c r="Q91" s="887" t="s">
        <v>156</v>
      </c>
      <c r="R91" s="887"/>
      <c r="S91" s="887"/>
      <c r="T91" s="774"/>
      <c r="U91" s="774" t="s">
        <v>2202</v>
      </c>
      <c r="V91" s="774" t="s">
        <v>2202</v>
      </c>
      <c r="W91" s="774"/>
      <c r="X91" s="774"/>
      <c r="Y91" s="930"/>
      <c r="Z91" s="777"/>
      <c r="AA91" s="780"/>
      <c r="AB91" s="777"/>
      <c r="AC91" s="777"/>
      <c r="AD91" s="777"/>
    </row>
    <row r="92" spans="1:30" ht="27" customHeight="1">
      <c r="A92" s="776"/>
      <c r="B92" s="829">
        <v>75</v>
      </c>
      <c r="C92" s="774"/>
      <c r="D92" s="897" t="s">
        <v>2200</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157</v>
      </c>
      <c r="Q92" s="887"/>
      <c r="R92" s="887"/>
      <c r="S92" s="887"/>
      <c r="T92" s="774"/>
      <c r="U92" s="774" t="s">
        <v>2203</v>
      </c>
      <c r="V92" s="774"/>
      <c r="W92" s="774"/>
      <c r="X92" s="774"/>
      <c r="Y92" s="930"/>
      <c r="Z92" s="777"/>
      <c r="AA92" s="780" t="s">
        <v>2204</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2110</v>
      </c>
      <c r="Q93" s="887"/>
      <c r="R93" s="887"/>
      <c r="S93" s="887"/>
      <c r="T93" s="774"/>
      <c r="U93" s="774" t="s">
        <v>2205</v>
      </c>
      <c r="V93" s="774"/>
      <c r="W93" s="774"/>
      <c r="X93" s="774"/>
      <c r="Y93" s="930"/>
      <c r="Z93" s="777"/>
      <c r="AA93" s="780" t="s">
        <v>2206</v>
      </c>
      <c r="AB93" s="777"/>
      <c r="AC93" s="777"/>
      <c r="AD93" s="777"/>
    </row>
    <row r="94" spans="1:30" ht="45" customHeight="1">
      <c r="A94" s="776"/>
      <c r="B94" s="829">
        <v>77</v>
      </c>
      <c r="C94" s="774"/>
      <c r="D94" s="897" t="s">
        <v>2201</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1464</v>
      </c>
      <c r="Q94" s="887"/>
      <c r="R94" s="887"/>
      <c r="S94" s="887"/>
      <c r="T94" s="774"/>
      <c r="U94" s="774" t="s">
        <v>2207</v>
      </c>
      <c r="V94" s="774"/>
      <c r="W94" s="774"/>
      <c r="X94" s="774"/>
      <c r="Y94" s="930"/>
      <c r="Z94" s="777"/>
      <c r="AA94" s="780" t="s">
        <v>2208</v>
      </c>
      <c r="AB94" s="777"/>
      <c r="AC94" s="777"/>
      <c r="AD94" s="777"/>
    </row>
    <row r="95" spans="1:30" ht="99" customHeight="1">
      <c r="A95" s="776"/>
      <c r="B95" s="829">
        <v>78</v>
      </c>
      <c r="C95" s="774" t="s">
        <v>2209</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1464</v>
      </c>
      <c r="P95" s="887"/>
      <c r="Q95" s="887"/>
      <c r="R95" s="887"/>
      <c r="S95" s="887"/>
      <c r="T95" s="774" t="s">
        <v>2210</v>
      </c>
      <c r="U95" s="774"/>
      <c r="V95" s="774"/>
      <c r="W95" s="774"/>
      <c r="X95" s="774"/>
      <c r="Y95" s="930"/>
      <c r="Z95" s="777"/>
      <c r="AA95" s="780"/>
      <c r="AB95" s="777"/>
      <c r="AC95" s="777"/>
      <c r="AD95" s="777"/>
    </row>
    <row r="96" spans="1:30" ht="99" customHeight="1">
      <c r="A96" s="776"/>
      <c r="B96" s="829">
        <v>79</v>
      </c>
      <c r="C96" s="774" t="s">
        <v>1151</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1470</v>
      </c>
      <c r="P96" s="887"/>
      <c r="Q96" s="887"/>
      <c r="R96" s="887"/>
      <c r="S96" s="887"/>
      <c r="T96" s="774" t="s">
        <v>2211</v>
      </c>
      <c r="U96" s="774"/>
      <c r="V96" s="774"/>
      <c r="W96" s="774"/>
      <c r="X96" s="774"/>
      <c r="Y96" s="930"/>
      <c r="Z96" s="777" t="s">
        <v>2212</v>
      </c>
      <c r="AA96" s="780"/>
      <c r="AB96" s="777"/>
      <c r="AC96" s="777"/>
      <c r="AD96" s="777"/>
    </row>
    <row r="97" spans="1:30" ht="63" customHeight="1">
      <c r="A97" s="776"/>
      <c r="B97" s="829">
        <v>80</v>
      </c>
      <c r="C97" s="774" t="s">
        <v>2213</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1482</v>
      </c>
      <c r="P97" s="887"/>
      <c r="Q97" s="887"/>
      <c r="R97" s="887"/>
      <c r="S97" s="887"/>
      <c r="T97" s="774" t="s">
        <v>2214</v>
      </c>
      <c r="U97" s="774"/>
      <c r="V97" s="774"/>
      <c r="W97" s="774"/>
      <c r="X97" s="774"/>
      <c r="Y97" s="930"/>
      <c r="Z97" s="777" t="s">
        <v>2215</v>
      </c>
      <c r="AA97" s="780"/>
      <c r="AB97" s="777"/>
      <c r="AC97" s="777"/>
      <c r="AD97" s="777"/>
    </row>
    <row r="98" spans="1:30" ht="63" customHeight="1">
      <c r="A98" s="776"/>
      <c r="B98" s="829">
        <v>81</v>
      </c>
      <c r="C98" s="774" t="s">
        <v>2216</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1496</v>
      </c>
      <c r="P98" s="887"/>
      <c r="Q98" s="887"/>
      <c r="R98" s="887"/>
      <c r="S98" s="887"/>
      <c r="T98" s="774" t="s">
        <v>2217</v>
      </c>
      <c r="U98" s="774"/>
      <c r="V98" s="774"/>
      <c r="W98" s="774"/>
      <c r="X98" s="774"/>
      <c r="Y98" s="930"/>
      <c r="Z98" s="777" t="s">
        <v>2215</v>
      </c>
      <c r="AA98" s="780"/>
      <c r="AB98" s="777"/>
      <c r="AC98" s="777"/>
      <c r="AD98" s="777"/>
    </row>
    <row r="99" spans="1:30" ht="90" customHeight="1">
      <c r="A99" s="776"/>
      <c r="B99" s="829">
        <v>82</v>
      </c>
      <c r="C99" s="774" t="s">
        <v>2218</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1508</v>
      </c>
      <c r="P99" s="887"/>
      <c r="Q99" s="887"/>
      <c r="R99" s="887"/>
      <c r="S99" s="887"/>
      <c r="T99" s="774" t="s">
        <v>2219</v>
      </c>
      <c r="U99" s="774"/>
      <c r="V99" s="774"/>
      <c r="W99" s="774"/>
      <c r="X99" s="774"/>
      <c r="Y99" s="930"/>
      <c r="Z99" s="777" t="s">
        <v>634</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2220</v>
      </c>
      <c r="P100" s="887"/>
      <c r="Q100" s="887"/>
      <c r="R100" s="887"/>
      <c r="S100" s="887"/>
      <c r="T100" s="774" t="s">
        <v>2221</v>
      </c>
      <c r="U100" s="774"/>
      <c r="V100" s="774"/>
      <c r="W100" s="774"/>
      <c r="X100" s="774"/>
      <c r="Y100" s="930"/>
      <c r="Z100" s="777" t="s">
        <v>634</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2222</v>
      </c>
      <c r="P101" s="887"/>
      <c r="Q101" s="887"/>
      <c r="R101" s="887"/>
      <c r="S101" s="887"/>
      <c r="T101" s="774" t="s">
        <v>2223</v>
      </c>
      <c r="U101" s="774"/>
      <c r="V101" s="774"/>
      <c r="W101" s="774"/>
      <c r="X101" s="774"/>
      <c r="Y101" s="930"/>
      <c r="Z101" s="777" t="s">
        <v>634</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1662</v>
      </c>
      <c r="B148" s="776"/>
      <c r="C148" s="774" t="s">
        <v>2224</v>
      </c>
      <c r="D148" s="774" t="s">
        <v>1564</v>
      </c>
      <c r="E148" s="774" t="s">
        <v>1664</v>
      </c>
      <c r="F148" s="774" t="s">
        <v>2225</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2227</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1674</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7"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98" t="s">
        <v>2228</v>
      </c>
      <c r="M5" s="2498"/>
      <c r="N5" s="2498"/>
      <c r="O5" s="2498"/>
      <c r="P5" s="2498"/>
      <c r="Q5" s="2498"/>
      <c r="R5" s="2498"/>
      <c r="S5" s="2498"/>
      <c r="T5" s="2498"/>
      <c r="U5" s="2498"/>
      <c r="V5" s="1170"/>
      <c r="AD5" s="1082">
        <v>64</v>
      </c>
    </row>
    <row r="6" spans="1:30" ht="14.65" customHeight="1">
      <c r="J6" s="313"/>
      <c r="K6" s="313"/>
      <c r="L6" s="2499" t="str">
        <f>IF(org=0,"Не определено",org)</f>
        <v>МУП "Михайловское водопроводно-канализационное хозяйство"</v>
      </c>
      <c r="M6" s="2499"/>
      <c r="N6" s="2499"/>
      <c r="O6" s="2499"/>
      <c r="P6" s="2499"/>
      <c r="Q6" s="2499"/>
      <c r="R6" s="2499"/>
      <c r="S6" s="2499"/>
      <c r="T6" s="2499"/>
      <c r="U6" s="2499"/>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212" t="str">
        <f>IF(TITLE_NAME_OR_PR_CHANGE="",IF(TITLE_NAME_OR_PR="","",TITLE_NAME_OR_PR),TITLE_NAME_OR_PR_CHANGE)</f>
        <v/>
      </c>
      <c r="P8" s="2212"/>
      <c r="Q8" s="2212"/>
      <c r="R8" s="2212"/>
      <c r="S8" s="2212"/>
      <c r="T8" s="2212"/>
      <c r="U8" s="2212"/>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425</v>
      </c>
      <c r="N9" s="241"/>
      <c r="O9" s="2212" t="str">
        <f>IF(TITLE_DATE_CHANGE_PERIOD="",IF(TITLE_DATE_PR="","",TITLE_DATE_PR),TITLE_DATE_CHANGE_PERIOD)</f>
        <v/>
      </c>
      <c r="P9" s="2212"/>
      <c r="Q9" s="2212"/>
      <c r="R9" s="2212"/>
      <c r="S9" s="2212"/>
      <c r="T9" s="2212"/>
      <c r="U9" s="2212"/>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426</v>
      </c>
      <c r="N10" s="241"/>
      <c r="O10" s="2212" t="str">
        <f>IF(TITLE_NUMBER_PR_CHANGE="",IF(TITLE_NUMBER_PR="","",TITLE_NUMBER_PR),TITLE_NUMBER_PR_CHANGE)</f>
        <v/>
      </c>
      <c r="P10" s="2212"/>
      <c r="Q10" s="2212"/>
      <c r="R10" s="2212"/>
      <c r="S10" s="2212"/>
      <c r="T10" s="2212"/>
      <c r="U10" s="2212"/>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212" t="str">
        <f>IF(TITLE_IST_PUB_CHANGE="",IF(TITLE_IST_PUB="","",TITLE_IST_PUB),TITLE_IST_PUB_CHANGE)</f>
        <v/>
      </c>
      <c r="P11" s="2212"/>
      <c r="Q11" s="2212"/>
      <c r="R11" s="2212"/>
      <c r="S11" s="2212"/>
      <c r="T11" s="2212"/>
      <c r="U11" s="2212"/>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97"/>
      <c r="M12" s="2497"/>
      <c r="N12" s="1214"/>
      <c r="O12" s="263"/>
      <c r="P12" s="263"/>
      <c r="Q12" s="263"/>
      <c r="R12" s="263"/>
      <c r="S12" s="263"/>
      <c r="T12" s="263"/>
      <c r="U12" s="263"/>
      <c r="V12" s="215" t="s">
        <v>429</v>
      </c>
      <c r="Y12" s="305"/>
      <c r="Z12" s="305"/>
      <c r="AA12" s="305"/>
      <c r="AB12" s="305"/>
      <c r="AC12" s="305"/>
      <c r="AD12" s="355">
        <v>0</v>
      </c>
    </row>
    <row r="13" spans="1:30" ht="14.65" customHeight="1">
      <c r="J13" s="313"/>
      <c r="K13" s="313"/>
      <c r="L13" s="1202"/>
      <c r="M13" s="300"/>
      <c r="N13" s="1171"/>
      <c r="O13" s="2231"/>
      <c r="P13" s="2231"/>
      <c r="Q13" s="2231"/>
      <c r="R13" s="2231"/>
      <c r="S13" s="2231"/>
      <c r="T13" s="2231"/>
      <c r="U13" s="2231"/>
      <c r="V13" s="2231"/>
      <c r="AD13" s="1082">
        <v>14</v>
      </c>
    </row>
    <row r="14" spans="1:30" ht="14.65" customHeight="1">
      <c r="J14" s="313"/>
      <c r="K14" s="313"/>
      <c r="L14" s="2091" t="s">
        <v>302</v>
      </c>
      <c r="M14" s="2091"/>
      <c r="N14" s="2091"/>
      <c r="O14" s="2091"/>
      <c r="P14" s="2091"/>
      <c r="Q14" s="2091"/>
      <c r="R14" s="2091"/>
      <c r="S14" s="2091"/>
      <c r="T14" s="2091"/>
      <c r="U14" s="2091"/>
      <c r="V14" s="2091"/>
      <c r="W14" s="2091"/>
      <c r="X14" s="2091" t="s">
        <v>303</v>
      </c>
      <c r="AD14" s="1082">
        <v>14</v>
      </c>
    </row>
    <row r="15" spans="1:30" ht="14.65" customHeight="1">
      <c r="J15" s="313"/>
      <c r="K15" s="313"/>
      <c r="L15" s="2232" t="s">
        <v>87</v>
      </c>
      <c r="M15" s="2180" t="s">
        <v>430</v>
      </c>
      <c r="N15" s="238"/>
      <c r="O15" s="2233" t="s">
        <v>2229</v>
      </c>
      <c r="P15" s="2234"/>
      <c r="Q15" s="2234"/>
      <c r="R15" s="2234"/>
      <c r="S15" s="2234"/>
      <c r="T15" s="2234"/>
      <c r="U15" s="2235"/>
      <c r="V15" s="2236" t="s">
        <v>432</v>
      </c>
      <c r="W15" s="2239" t="s">
        <v>1148</v>
      </c>
      <c r="X15" s="2091"/>
      <c r="AD15" s="1082">
        <v>14</v>
      </c>
    </row>
    <row r="16" spans="1:30" ht="35.65" customHeight="1">
      <c r="J16" s="313"/>
      <c r="K16" s="313"/>
      <c r="L16" s="2232"/>
      <c r="M16" s="2180"/>
      <c r="N16" s="961"/>
      <c r="O16" s="2150" t="s">
        <v>435</v>
      </c>
      <c r="P16" s="2150" t="s">
        <v>436</v>
      </c>
      <c r="Q16" s="2073" t="s">
        <v>437</v>
      </c>
      <c r="R16" s="2072"/>
      <c r="S16" s="2073" t="s">
        <v>451</v>
      </c>
      <c r="T16" s="2078"/>
      <c r="U16" s="2072"/>
      <c r="V16" s="2237"/>
      <c r="W16" s="2240"/>
      <c r="X16" s="2091"/>
      <c r="AD16" s="1082">
        <v>34</v>
      </c>
    </row>
    <row r="17" spans="1:30" ht="35.65" customHeight="1">
      <c r="A17" s="1297" t="s">
        <v>138</v>
      </c>
      <c r="B17" s="1297" t="s">
        <v>139</v>
      </c>
      <c r="C17" s="1297" t="s">
        <v>140</v>
      </c>
      <c r="D17" s="1297" t="s">
        <v>141</v>
      </c>
      <c r="E17" s="1297"/>
      <c r="J17" s="313"/>
      <c r="K17" s="313"/>
      <c r="L17" s="2232"/>
      <c r="M17" s="2180"/>
      <c r="N17" s="239"/>
      <c r="O17" s="2205"/>
      <c r="P17" s="2205"/>
      <c r="Q17" s="1149" t="s">
        <v>446</v>
      </c>
      <c r="R17" s="1149" t="s">
        <v>447</v>
      </c>
      <c r="S17" s="1219" t="s">
        <v>448</v>
      </c>
      <c r="T17" s="2185" t="s">
        <v>449</v>
      </c>
      <c r="U17" s="2199"/>
      <c r="V17" s="2238"/>
      <c r="W17" s="2241"/>
      <c r="X17" s="2091"/>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30">
        <f ca="1">OFFSET(T18,0,-1)+1</f>
        <v>4</v>
      </c>
      <c r="U18" s="2230"/>
      <c r="V18" s="1216">
        <f ca="1">OFFSET(V18,0,-2)+1</f>
        <v>5</v>
      </c>
      <c r="W18" s="1172">
        <f ca="1">OFFSET(W18,0,-1)</f>
        <v>5</v>
      </c>
      <c r="X18" s="1216">
        <f ca="1">OFFSET(X18,0,-1)+1</f>
        <v>6</v>
      </c>
      <c r="Y18" s="448"/>
      <c r="Z18" s="448"/>
      <c r="AA18" s="448"/>
      <c r="AB18" s="448"/>
      <c r="AC18" s="448"/>
      <c r="AD18" s="433">
        <v>11</v>
      </c>
    </row>
    <row r="19" spans="1:30" ht="21" customHeight="1">
      <c r="A19" s="1290" t="s">
        <v>172</v>
      </c>
      <c r="B19" s="1290" t="s">
        <v>173</v>
      </c>
      <c r="C19" s="1290" t="s">
        <v>174</v>
      </c>
      <c r="D19" s="1290" t="s">
        <v>175</v>
      </c>
      <c r="E19" s="1290"/>
      <c r="F19" s="1292"/>
      <c r="G19" s="1292"/>
      <c r="H19" s="1292"/>
      <c r="I19" s="298"/>
      <c r="J19" s="297"/>
      <c r="K19" s="292"/>
      <c r="L19" s="1220">
        <f>INDEX(PT_DIFFERENTIATION_NUM_NTAR,MATCH(A19,PT_DIFFERENTIATION_NTAR_ID,0))</f>
        <v>0</v>
      </c>
      <c r="M19" s="235" t="s">
        <v>127</v>
      </c>
      <c r="N19" s="237"/>
      <c r="O19" s="2496" t="str">
        <f>INDEX(PT_DIFFERENTIATION_NTAR,MATCH(A19,PT_DIFFERENTIATION_NTAR_ID,0))</f>
        <v/>
      </c>
      <c r="P19" s="2496"/>
      <c r="Q19" s="2496"/>
      <c r="R19" s="2496"/>
      <c r="S19" s="2496"/>
      <c r="T19" s="2496"/>
      <c r="U19" s="2496"/>
      <c r="V19" s="2496"/>
      <c r="W19" s="2496"/>
      <c r="X19" s="1185" t="s">
        <v>398</v>
      </c>
      <c r="Z19" s="437"/>
      <c r="AA19" s="437" t="str">
        <f t="shared" ref="AA19:AA32" si="0">IF(M19="","",M19)</f>
        <v>Наименование тарифа</v>
      </c>
      <c r="AB19" s="437"/>
      <c r="AC19" s="437"/>
      <c r="AD19" s="1082">
        <v>20</v>
      </c>
    </row>
    <row r="20" spans="1:30" ht="21" customHeight="1">
      <c r="A20" s="1290" t="s">
        <v>172</v>
      </c>
      <c r="B20" s="1290" t="s">
        <v>173</v>
      </c>
      <c r="C20" s="1290" t="s">
        <v>174</v>
      </c>
      <c r="D20" s="1290" t="s">
        <v>175</v>
      </c>
      <c r="E20" s="1290"/>
      <c r="F20" s="1292"/>
      <c r="G20" s="1292"/>
      <c r="H20" s="1292"/>
      <c r="I20" s="1217"/>
      <c r="J20" s="289"/>
      <c r="K20" s="290"/>
      <c r="L20" s="1220" t="str">
        <f>INDEX(PT_DIFFERENTIATION_NUM_TER,MATCH(B19,PT_DIFFERENTIATION_TER_ID,0))</f>
        <v>.</v>
      </c>
      <c r="M20" s="245" t="s">
        <v>399</v>
      </c>
      <c r="N20" s="237"/>
      <c r="O20" s="2496" t="str">
        <f>INDEX(PT_DIFFERENTIATION_TER,MATCH(B19,PT_DIFFERENTIATION_TER_ID,0))</f>
        <v/>
      </c>
      <c r="P20" s="2496"/>
      <c r="Q20" s="2496"/>
      <c r="R20" s="2496"/>
      <c r="S20" s="2496"/>
      <c r="T20" s="2496"/>
      <c r="U20" s="2496"/>
      <c r="V20" s="2496"/>
      <c r="W20" s="2496"/>
      <c r="X20" s="1185" t="s">
        <v>400</v>
      </c>
      <c r="Z20" s="437"/>
      <c r="AA20" s="437" t="str">
        <f t="shared" si="0"/>
        <v>Территория действия тарифа</v>
      </c>
      <c r="AB20" s="437"/>
      <c r="AC20" s="437"/>
      <c r="AD20" s="1082">
        <v>20</v>
      </c>
    </row>
    <row r="21" spans="1:30" ht="24" customHeight="1">
      <c r="A21" s="1290" t="s">
        <v>172</v>
      </c>
      <c r="B21" s="1290" t="s">
        <v>173</v>
      </c>
      <c r="C21" s="1290" t="s">
        <v>174</v>
      </c>
      <c r="D21" s="1290" t="s">
        <v>175</v>
      </c>
      <c r="E21" s="1290"/>
      <c r="F21" s="1292"/>
      <c r="G21" s="1292"/>
      <c r="H21" s="1292"/>
      <c r="I21" s="291"/>
      <c r="J21" s="289"/>
      <c r="K21" s="290"/>
      <c r="L21" s="1220" t="str">
        <f>INDEX(PT_DIFFERENTIATION_NUM_CS,MATCH(C19,PT_DIFFERENTIATION_CS_ID,0))</f>
        <v>..</v>
      </c>
      <c r="M21" s="246" t="s">
        <v>401</v>
      </c>
      <c r="N21" s="237"/>
      <c r="O21" s="2496" t="str">
        <f>INDEX(PT_DIFFERENTIATION_CS,MATCH(C19,PT_DIFFERENTIATION_CS_ID,0))</f>
        <v/>
      </c>
      <c r="P21" s="2496"/>
      <c r="Q21" s="2496"/>
      <c r="R21" s="2496"/>
      <c r="S21" s="2496"/>
      <c r="T21" s="2496"/>
      <c r="U21" s="2496"/>
      <c r="V21" s="2496"/>
      <c r="W21" s="2496"/>
      <c r="X21" s="1185" t="s">
        <v>402</v>
      </c>
      <c r="Z21" s="437"/>
      <c r="AA21" s="437" t="str">
        <f t="shared" si="0"/>
        <v xml:space="preserve">Наименование системы теплоснабжения </v>
      </c>
      <c r="AB21" s="437"/>
      <c r="AC21" s="437"/>
      <c r="AD21" s="1082">
        <v>23</v>
      </c>
    </row>
    <row r="22" spans="1:30" ht="21" customHeight="1">
      <c r="A22" s="1290" t="s">
        <v>172</v>
      </c>
      <c r="B22" s="1290" t="s">
        <v>173</v>
      </c>
      <c r="C22" s="1290" t="s">
        <v>174</v>
      </c>
      <c r="D22" s="1290" t="s">
        <v>175</v>
      </c>
      <c r="E22" s="1290"/>
      <c r="F22" s="1292"/>
      <c r="G22" s="1292"/>
      <c r="H22" s="1292"/>
      <c r="I22" s="291"/>
      <c r="J22" s="289"/>
      <c r="K22" s="290"/>
      <c r="L22" s="1220" t="str">
        <f>INDEX(PT_DIFFERENTIATION_NUM_IST_TE,MATCH(D19,PT_DIFFERENTIATION_IST_TE_ID,0))</f>
        <v>...</v>
      </c>
      <c r="M22" s="247" t="s">
        <v>403</v>
      </c>
      <c r="N22" s="237"/>
      <c r="O22" s="2496" t="str">
        <f>INDEX(PT_DIFFERENTIATION_IST_TE,MATCH(D19,PT_DIFFERENTIATION_IST_TE_ID,0))</f>
        <v/>
      </c>
      <c r="P22" s="2496"/>
      <c r="Q22" s="2496"/>
      <c r="R22" s="2496"/>
      <c r="S22" s="2496"/>
      <c r="T22" s="2496"/>
      <c r="U22" s="2496"/>
      <c r="V22" s="2496"/>
      <c r="W22" s="2496"/>
      <c r="X22" s="1185" t="s">
        <v>404</v>
      </c>
      <c r="Z22" s="437"/>
      <c r="AA22" s="437" t="str">
        <f t="shared" si="0"/>
        <v xml:space="preserve">Источник тепловой энергии  </v>
      </c>
      <c r="AB22" s="437"/>
      <c r="AC22" s="437"/>
      <c r="AD22" s="1082">
        <v>20</v>
      </c>
    </row>
    <row r="23" spans="1:30" ht="96.75" customHeight="1">
      <c r="A23" s="1290" t="s">
        <v>172</v>
      </c>
      <c r="B23" s="1290" t="s">
        <v>173</v>
      </c>
      <c r="C23" s="1290" t="s">
        <v>174</v>
      </c>
      <c r="D23" s="1290" t="s">
        <v>175</v>
      </c>
      <c r="E23" s="1290"/>
      <c r="F23" s="2197" t="str">
        <f>L22&amp;".1"</f>
        <v>....1</v>
      </c>
      <c r="I23" s="2223">
        <v>1</v>
      </c>
      <c r="J23" s="1218"/>
      <c r="K23" s="293"/>
      <c r="L23" s="1220" t="str">
        <f>$F$23</f>
        <v>....1</v>
      </c>
      <c r="M23" s="222" t="s">
        <v>406</v>
      </c>
      <c r="N23" s="237"/>
      <c r="O23" s="2253"/>
      <c r="P23" s="2253"/>
      <c r="Q23" s="2253"/>
      <c r="R23" s="2253"/>
      <c r="S23" s="2253"/>
      <c r="T23" s="2253"/>
      <c r="U23" s="2253"/>
      <c r="V23" s="2253"/>
      <c r="W23" s="2253"/>
      <c r="X23" s="1185" t="s">
        <v>407</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172</v>
      </c>
      <c r="B24" s="1290" t="s">
        <v>173</v>
      </c>
      <c r="C24" s="1290" t="s">
        <v>174</v>
      </c>
      <c r="D24" s="1290" t="s">
        <v>175</v>
      </c>
      <c r="E24" s="1290"/>
      <c r="F24" s="2197"/>
      <c r="G24" s="2197" t="str">
        <f>F23&amp;".1"</f>
        <v>....1.1</v>
      </c>
      <c r="I24" s="2223"/>
      <c r="J24" s="2223">
        <v>1</v>
      </c>
      <c r="K24" s="294"/>
      <c r="L24" s="1220" t="str">
        <f>$G$24</f>
        <v>....1.1</v>
      </c>
      <c r="M24" s="223" t="s">
        <v>409</v>
      </c>
      <c r="N24" s="237"/>
      <c r="O24" s="2207"/>
      <c r="P24" s="2208"/>
      <c r="Q24" s="2208"/>
      <c r="R24" s="2208"/>
      <c r="S24" s="2208"/>
      <c r="T24" s="2208"/>
      <c r="U24" s="2208"/>
      <c r="V24" s="2208"/>
      <c r="W24" s="2209"/>
      <c r="X24" s="1185" t="s">
        <v>410</v>
      </c>
      <c r="Z24" s="437"/>
      <c r="AA24" s="437" t="str">
        <f t="shared" si="0"/>
        <v>Группа потребителей</v>
      </c>
      <c r="AB24" s="437"/>
      <c r="AC24" s="437"/>
      <c r="AD24" s="1082">
        <v>82</v>
      </c>
    </row>
    <row r="25" spans="1:30" ht="11.45" customHeight="1">
      <c r="A25" s="1290" t="s">
        <v>172</v>
      </c>
      <c r="B25" s="1290" t="s">
        <v>173</v>
      </c>
      <c r="C25" s="1290" t="s">
        <v>174</v>
      </c>
      <c r="D25" s="1290" t="s">
        <v>175</v>
      </c>
      <c r="E25" s="1290"/>
      <c r="F25" s="2197"/>
      <c r="G25" s="2197"/>
      <c r="H25" s="2197" t="str">
        <f>G24&amp;".1"</f>
        <v>....1.1.1</v>
      </c>
      <c r="I25" s="2223"/>
      <c r="J25" s="2223"/>
      <c r="K25" s="294">
        <v>1</v>
      </c>
      <c r="L25" s="1220" t="str">
        <f>$H$25</f>
        <v>....1.1.1</v>
      </c>
      <c r="M25" s="1274"/>
      <c r="N25" s="237"/>
      <c r="O25" s="688"/>
      <c r="P25" s="262"/>
      <c r="Q25" s="688"/>
      <c r="R25" s="1184"/>
      <c r="S25" s="2224"/>
      <c r="T25" s="2102" t="s">
        <v>65</v>
      </c>
      <c r="U25" s="2224"/>
      <c r="V25" s="2102" t="s">
        <v>19</v>
      </c>
      <c r="W25" s="262"/>
      <c r="X25" s="2242" t="s">
        <v>412</v>
      </c>
      <c r="Y25" s="448" t="e">
        <f ca="1">STRCHECKDATE(O26:W26)</f>
        <v>#NAME?</v>
      </c>
      <c r="Z25" s="437"/>
      <c r="AA25" s="437" t="str">
        <f t="shared" si="0"/>
        <v/>
      </c>
      <c r="AB25" s="437"/>
      <c r="AC25" s="437"/>
      <c r="AD25" s="1082">
        <v>11</v>
      </c>
    </row>
    <row r="26" spans="1:30" ht="11.45" customHeight="1">
      <c r="A26" s="1290" t="s">
        <v>172</v>
      </c>
      <c r="B26" s="1290" t="s">
        <v>173</v>
      </c>
      <c r="C26" s="1290" t="s">
        <v>174</v>
      </c>
      <c r="D26" s="1290" t="s">
        <v>175</v>
      </c>
      <c r="E26" s="1290"/>
      <c r="F26" s="2197"/>
      <c r="G26" s="2197"/>
      <c r="H26" s="2197"/>
      <c r="I26" s="2223"/>
      <c r="J26" s="2223"/>
      <c r="K26" s="294"/>
      <c r="L26" s="1221"/>
      <c r="M26" s="237"/>
      <c r="N26" s="237"/>
      <c r="O26" s="262"/>
      <c r="P26" s="262"/>
      <c r="Q26" s="262"/>
      <c r="R26" s="265" t="str">
        <f>S25&amp;"-"&amp;U25</f>
        <v>-</v>
      </c>
      <c r="S26" s="2225"/>
      <c r="T26" s="2102"/>
      <c r="U26" s="2225"/>
      <c r="V26" s="2102"/>
      <c r="W26" s="262"/>
      <c r="X26" s="2243"/>
      <c r="Z26" s="437"/>
      <c r="AA26" s="437" t="str">
        <f t="shared" si="0"/>
        <v/>
      </c>
      <c r="AB26" s="437"/>
      <c r="AC26" s="437"/>
      <c r="AD26" s="1082">
        <v>11</v>
      </c>
    </row>
    <row r="27" spans="1:30" ht="15.75" customHeight="1">
      <c r="A27" s="1290" t="s">
        <v>172</v>
      </c>
      <c r="B27" s="1290" t="s">
        <v>173</v>
      </c>
      <c r="C27" s="1290" t="s">
        <v>174</v>
      </c>
      <c r="D27" s="1290" t="s">
        <v>175</v>
      </c>
      <c r="E27" s="1290"/>
      <c r="F27" s="2197"/>
      <c r="G27" s="2197"/>
      <c r="I27" s="2223"/>
      <c r="J27" s="2223"/>
      <c r="K27" s="293"/>
      <c r="L27" s="1205"/>
      <c r="M27" s="225" t="s">
        <v>413</v>
      </c>
      <c r="N27" s="304"/>
      <c r="O27" s="304"/>
      <c r="P27" s="304"/>
      <c r="Q27" s="304"/>
      <c r="R27" s="304"/>
      <c r="S27" s="304"/>
      <c r="T27" s="304"/>
      <c r="U27" s="304"/>
      <c r="V27" s="304"/>
      <c r="W27" s="261"/>
      <c r="X27" s="2244"/>
      <c r="Z27" s="437"/>
      <c r="AA27" s="437" t="str">
        <f t="shared" si="0"/>
        <v>Добавить вид теплоносителя (параметры теплоносителя)</v>
      </c>
      <c r="AB27" s="437"/>
      <c r="AC27" s="437"/>
      <c r="AD27" s="1082">
        <v>15</v>
      </c>
    </row>
    <row r="28" spans="1:30" ht="15.75" customHeight="1">
      <c r="A28" s="1290" t="s">
        <v>172</v>
      </c>
      <c r="B28" s="1290" t="s">
        <v>173</v>
      </c>
      <c r="C28" s="1290" t="s">
        <v>174</v>
      </c>
      <c r="D28" s="1290" t="s">
        <v>175</v>
      </c>
      <c r="E28" s="1290"/>
      <c r="F28" s="2197"/>
      <c r="I28" s="2223"/>
      <c r="J28" s="1218"/>
      <c r="K28" s="293"/>
      <c r="L28" s="1205"/>
      <c r="M28" s="224" t="s">
        <v>414</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172</v>
      </c>
      <c r="B29" s="1290" t="s">
        <v>173</v>
      </c>
      <c r="C29" s="1290" t="s">
        <v>174</v>
      </c>
      <c r="D29" s="1290" t="s">
        <v>175</v>
      </c>
      <c r="E29" s="1290"/>
      <c r="F29" s="1292"/>
      <c r="G29" s="1292"/>
      <c r="H29" s="474"/>
      <c r="I29" s="297"/>
      <c r="J29" s="312"/>
      <c r="K29" s="292"/>
      <c r="L29" s="1205"/>
      <c r="M29" s="302" t="s">
        <v>415</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172</v>
      </c>
      <c r="B30" s="1290" t="s">
        <v>173</v>
      </c>
      <c r="C30" s="1290" t="s">
        <v>174</v>
      </c>
      <c r="D30" s="1290"/>
      <c r="E30" s="1290" t="s">
        <v>588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172</v>
      </c>
      <c r="B31" s="1290" t="s">
        <v>173</v>
      </c>
      <c r="C31" s="1290"/>
      <c r="D31" s="1290"/>
      <c r="E31" s="1290" t="s">
        <v>2230</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2231</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450</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806</v>
      </c>
      <c r="M35" s="2218" t="s">
        <v>2232</v>
      </c>
      <c r="N35" s="2218"/>
      <c r="O35" s="2218"/>
      <c r="P35" s="2218"/>
      <c r="Q35" s="2218"/>
      <c r="R35" s="2218"/>
      <c r="S35" s="2218"/>
      <c r="T35" s="2218"/>
      <c r="U35" s="2218"/>
      <c r="V35" s="2218"/>
      <c r="W35" s="2218"/>
      <c r="X35" s="2218"/>
      <c r="AD35" s="1082">
        <v>27</v>
      </c>
    </row>
    <row r="36" spans="1:30" ht="109.15" customHeight="1">
      <c r="H36" s="474"/>
      <c r="I36" s="1230"/>
      <c r="M36" s="2218" t="s">
        <v>2233</v>
      </c>
      <c r="N36" s="2218"/>
      <c r="O36" s="2218"/>
      <c r="P36" s="2218"/>
      <c r="Q36" s="2218"/>
      <c r="R36" s="2218"/>
      <c r="S36" s="2218"/>
      <c r="T36" s="2218"/>
      <c r="U36" s="2218"/>
      <c r="V36" s="2218"/>
      <c r="W36" s="2218"/>
      <c r="X36" s="221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301</v>
      </c>
      <c r="J1" s="392" t="s">
        <v>14</v>
      </c>
    </row>
    <row r="2" spans="1:10" ht="11.25" hidden="1" customHeight="1">
      <c r="J2" s="392">
        <v>0</v>
      </c>
    </row>
    <row r="3" spans="1:10" s="414" customFormat="1" ht="11.45" customHeight="1">
      <c r="A3" s="1613"/>
      <c r="B3" s="438"/>
      <c r="D3" s="415"/>
      <c r="J3" s="414">
        <v>11</v>
      </c>
    </row>
    <row r="4" spans="1:10" ht="27.4" customHeight="1">
      <c r="D4" s="2141" t="str">
        <f>ORG_INFO_NAME_FORM</f>
        <v>Форма 1. Информация об организации, осуществляющей холодное водоснабжение (общая информация)</v>
      </c>
      <c r="E4" s="2142"/>
      <c r="F4" s="2143"/>
      <c r="I4" s="652"/>
      <c r="J4" s="392">
        <v>26</v>
      </c>
    </row>
    <row r="5" spans="1:10" ht="18" customHeight="1">
      <c r="D5" s="2172" t="str">
        <f>IF(org=0,"Не определено",org)</f>
        <v>МУП "Михайловское водопроводно-канализационное хозяйство"</v>
      </c>
      <c r="E5" s="2172"/>
      <c r="F5" s="2172"/>
      <c r="I5" s="652"/>
      <c r="J5" s="392">
        <v>17</v>
      </c>
    </row>
    <row r="6" spans="1:10" s="414" customFormat="1" ht="11.45" customHeight="1">
      <c r="A6" s="1613"/>
      <c r="B6" s="438"/>
      <c r="D6" s="651"/>
      <c r="E6" s="651"/>
      <c r="F6" s="689"/>
      <c r="G6" s="651"/>
      <c r="J6" s="414">
        <v>11</v>
      </c>
    </row>
    <row r="7" spans="1:10" ht="11.25" hidden="1" customHeight="1">
      <c r="A7" s="394"/>
      <c r="B7" s="439"/>
      <c r="C7" s="394"/>
      <c r="D7" s="400"/>
      <c r="E7" s="2178"/>
      <c r="F7" s="2178"/>
      <c r="J7" s="392">
        <v>0</v>
      </c>
    </row>
    <row r="8" spans="1:10" ht="11.45" customHeight="1">
      <c r="A8" s="394"/>
      <c r="B8" s="439"/>
      <c r="C8" s="394"/>
      <c r="D8" s="2175" t="s">
        <v>302</v>
      </c>
      <c r="E8" s="2176"/>
      <c r="F8" s="2176"/>
      <c r="G8" s="2179" t="s">
        <v>303</v>
      </c>
      <c r="J8" s="392">
        <v>11</v>
      </c>
    </row>
    <row r="9" spans="1:10" ht="11.45" customHeight="1">
      <c r="A9" s="394"/>
      <c r="B9" s="439"/>
      <c r="C9" s="394"/>
      <c r="D9" s="409" t="s">
        <v>87</v>
      </c>
      <c r="E9" s="383" t="s">
        <v>304</v>
      </c>
      <c r="F9" s="383" t="s">
        <v>305</v>
      </c>
      <c r="G9" s="2180"/>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306</v>
      </c>
      <c r="F11" s="941" t="str">
        <f>IF(region_name="","",region_name)</f>
        <v>Волгоградская область</v>
      </c>
      <c r="G11" s="942" t="s">
        <v>307</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308</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309</v>
      </c>
      <c r="E14" s="940" t="s">
        <v>310</v>
      </c>
      <c r="F14" s="941" t="str">
        <f>IF(inn="","",inn)</f>
        <v>3437000840</v>
      </c>
      <c r="G14" s="942" t="s">
        <v>311</v>
      </c>
      <c r="H14" s="412"/>
      <c r="J14" s="392">
        <v>0</v>
      </c>
    </row>
    <row r="15" spans="1:10" ht="22.5" hidden="1" customHeight="1">
      <c r="A15" s="394"/>
      <c r="B15" s="439"/>
      <c r="C15" s="394"/>
      <c r="D15" s="939" t="s">
        <v>312</v>
      </c>
      <c r="E15" s="940" t="s">
        <v>313</v>
      </c>
      <c r="F15" s="941" t="str">
        <f>IF(kpp="","",kpp)</f>
        <v>343701001</v>
      </c>
      <c r="G15" s="942" t="s">
        <v>314</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73" t="s">
        <v>315</v>
      </c>
      <c r="B19" s="439"/>
      <c r="C19" s="2184"/>
      <c r="D19" s="382" t="str">
        <f>A19</f>
        <v>5.1</v>
      </c>
      <c r="E19" s="379" t="s">
        <v>316</v>
      </c>
      <c r="F19" s="380" t="s">
        <v>308</v>
      </c>
      <c r="G19" s="381" t="s">
        <v>317</v>
      </c>
      <c r="H19" s="412"/>
      <c r="I19" s="783"/>
      <c r="J19" s="392">
        <v>0</v>
      </c>
    </row>
    <row r="20" spans="1:10" ht="24" hidden="1" customHeight="1">
      <c r="A20" s="2173"/>
      <c r="B20" s="439"/>
      <c r="C20" s="2184"/>
      <c r="D20" s="377" t="str">
        <f>D19&amp;".1"</f>
        <v>5.1.1</v>
      </c>
      <c r="E20" s="376" t="s">
        <v>318</v>
      </c>
      <c r="F20" s="811" t="s">
        <v>22</v>
      </c>
      <c r="G20" s="411"/>
      <c r="H20" s="412"/>
      <c r="I20" s="783"/>
      <c r="J20" s="392">
        <v>0</v>
      </c>
    </row>
    <row r="21" spans="1:10" ht="22.5" hidden="1" customHeight="1">
      <c r="A21" s="2173"/>
      <c r="B21" s="439"/>
      <c r="C21" s="2184"/>
      <c r="D21" s="377" t="str">
        <f>D19&amp;".2"</f>
        <v>5.1.2</v>
      </c>
      <c r="E21" s="376" t="s">
        <v>319</v>
      </c>
      <c r="F21" s="1660" t="s">
        <v>22</v>
      </c>
      <c r="G21" s="381" t="s">
        <v>320</v>
      </c>
      <c r="H21" s="412"/>
      <c r="I21" s="783"/>
      <c r="J21" s="392">
        <v>0</v>
      </c>
    </row>
    <row r="22" spans="1:10" ht="22.5" hidden="1" customHeight="1">
      <c r="A22" s="2173"/>
      <c r="B22" s="439"/>
      <c r="C22" s="2184"/>
      <c r="D22" s="377" t="str">
        <f>D19&amp;".3"</f>
        <v>5.1.3</v>
      </c>
      <c r="E22" s="376" t="s">
        <v>321</v>
      </c>
      <c r="F22" s="811" t="s">
        <v>22</v>
      </c>
      <c r="G22" s="411"/>
      <c r="H22" s="412"/>
      <c r="I22" s="783"/>
      <c r="J22" s="392">
        <v>0</v>
      </c>
    </row>
    <row r="23" spans="1:10" ht="22.5" hidden="1" customHeight="1">
      <c r="A23" s="2173"/>
      <c r="B23" s="439"/>
      <c r="C23" s="2184"/>
      <c r="D23" s="377" t="str">
        <f>D19&amp;".4"</f>
        <v>5.1.4</v>
      </c>
      <c r="E23" s="376" t="s">
        <v>322</v>
      </c>
      <c r="F23" s="811" t="s">
        <v>22</v>
      </c>
      <c r="G23" s="381" t="s">
        <v>323</v>
      </c>
      <c r="H23" s="412"/>
      <c r="I23" s="783"/>
      <c r="J23" s="392">
        <v>0</v>
      </c>
    </row>
    <row r="24" spans="1:10" ht="22.5" hidden="1" customHeight="1">
      <c r="A24" s="1901"/>
      <c r="B24" s="439"/>
      <c r="C24" s="429"/>
      <c r="D24" s="404"/>
      <c r="E24" s="1095" t="s">
        <v>324</v>
      </c>
      <c r="F24" s="405"/>
      <c r="G24" s="406"/>
      <c r="H24" s="412"/>
      <c r="I24" s="783"/>
      <c r="J24" s="392">
        <v>0</v>
      </c>
    </row>
    <row r="25" spans="1:10" s="438" customFormat="1" ht="24.75" hidden="1" customHeight="1">
      <c r="A25" s="394"/>
      <c r="B25" s="439"/>
      <c r="C25" s="439"/>
      <c r="D25" s="936" t="s">
        <v>89</v>
      </c>
      <c r="E25" s="938" t="s">
        <v>325</v>
      </c>
      <c r="F25" s="943" t="s">
        <v>308</v>
      </c>
      <c r="G25" s="938"/>
      <c r="J25" s="438">
        <v>0</v>
      </c>
    </row>
    <row r="26" spans="1:10" s="438" customFormat="1" ht="11.25" hidden="1" customHeight="1">
      <c r="A26" s="394"/>
      <c r="B26" s="439"/>
      <c r="C26" s="439"/>
      <c r="D26" s="936" t="s">
        <v>326</v>
      </c>
      <c r="E26" s="937" t="s">
        <v>327</v>
      </c>
      <c r="F26" s="943" t="s">
        <v>308</v>
      </c>
      <c r="G26" s="938"/>
      <c r="J26" s="438">
        <v>0</v>
      </c>
    </row>
    <row r="27" spans="1:10" s="438" customFormat="1" ht="11.25" hidden="1" customHeight="1">
      <c r="A27" s="394"/>
      <c r="B27" s="439"/>
      <c r="C27" s="439"/>
      <c r="D27" s="936" t="s">
        <v>328</v>
      </c>
      <c r="E27" s="944" t="s">
        <v>329</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330</v>
      </c>
      <c r="E28" s="944" t="s">
        <v>331</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332</v>
      </c>
      <c r="E29" s="944" t="s">
        <v>333</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334</v>
      </c>
      <c r="E30" s="937" t="s">
        <v>335</v>
      </c>
      <c r="F30" s="945"/>
      <c r="G30" s="938"/>
      <c r="J30" s="438">
        <v>0</v>
      </c>
    </row>
    <row r="31" spans="1:10" s="438" customFormat="1" ht="11.25" hidden="1" customHeight="1">
      <c r="A31" s="394"/>
      <c r="B31" s="439"/>
      <c r="C31" s="439"/>
      <c r="D31" s="936" t="s">
        <v>336</v>
      </c>
      <c r="E31" s="937" t="s">
        <v>337</v>
      </c>
      <c r="F31" s="945"/>
      <c r="G31" s="938"/>
      <c r="J31" s="438">
        <v>0</v>
      </c>
    </row>
    <row r="32" spans="1:10" s="438" customFormat="1" ht="11.25" hidden="1" customHeight="1">
      <c r="A32" s="394"/>
      <c r="B32" s="439"/>
      <c r="C32" s="439"/>
      <c r="D32" s="936" t="s">
        <v>338</v>
      </c>
      <c r="E32" s="937" t="s">
        <v>339</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308</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340</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340</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308</v>
      </c>
      <c r="G39" s="218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82"/>
      <c r="H40" s="412"/>
      <c r="J40" s="392">
        <v>0</v>
      </c>
    </row>
    <row r="41" spans="1:10" ht="23.25" customHeight="1">
      <c r="A41" s="394"/>
      <c r="B41" s="394"/>
      <c r="C41" s="1615"/>
      <c r="D41" s="377" t="str">
        <f>D39&amp;".1"</f>
        <v>8.1</v>
      </c>
      <c r="E41" s="791"/>
      <c r="F41" s="792"/>
      <c r="G41" s="2182"/>
      <c r="H41" s="412"/>
      <c r="J41" s="392">
        <v>22</v>
      </c>
    </row>
    <row r="42" spans="1:10" ht="15.75" customHeight="1">
      <c r="A42" s="394"/>
      <c r="B42" s="439"/>
      <c r="C42" s="394"/>
      <c r="D42" s="404"/>
      <c r="E42" s="352" t="s">
        <v>341</v>
      </c>
      <c r="F42" s="406"/>
      <c r="G42" s="2183"/>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342</v>
      </c>
      <c r="H44" s="412"/>
      <c r="J44" s="392">
        <v>22</v>
      </c>
    </row>
    <row r="45" spans="1:10" ht="23.25" customHeight="1">
      <c r="A45" s="394"/>
      <c r="B45" s="439"/>
      <c r="C45" s="394"/>
      <c r="D45" s="377">
        <f>D44+1</f>
        <v>11</v>
      </c>
      <c r="E45" s="375" t="s">
        <v>343</v>
      </c>
      <c r="F45" s="380" t="s">
        <v>308</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344</v>
      </c>
      <c r="H46" s="412"/>
      <c r="J46" s="392">
        <v>23</v>
      </c>
    </row>
    <row r="47" spans="1:10" ht="24" customHeight="1">
      <c r="A47" s="2173"/>
      <c r="B47" s="439"/>
      <c r="C47" s="429"/>
      <c r="D47" s="377" t="str">
        <f>D45&amp;".2"</f>
        <v>11.2</v>
      </c>
      <c r="E47" s="379" t="s">
        <v>345</v>
      </c>
      <c r="F47" s="427"/>
      <c r="G47" s="374" t="s">
        <v>346</v>
      </c>
      <c r="H47" s="412"/>
      <c r="J47" s="392">
        <v>23</v>
      </c>
    </row>
    <row r="48" spans="1:10" ht="24" customHeight="1">
      <c r="A48" s="2173"/>
      <c r="B48" s="439"/>
      <c r="C48" s="429"/>
      <c r="D48" s="377" t="str">
        <f>D45&amp;".3"</f>
        <v>11.3</v>
      </c>
      <c r="E48" s="379" t="s">
        <v>347</v>
      </c>
      <c r="F48" s="427"/>
      <c r="G48" s="374" t="s">
        <v>348</v>
      </c>
      <c r="H48" s="412"/>
      <c r="J48" s="392">
        <v>23</v>
      </c>
    </row>
    <row r="49" spans="1:10" ht="24" customHeight="1">
      <c r="A49" s="2173"/>
      <c r="B49" s="439"/>
      <c r="C49" s="429"/>
      <c r="D49" s="377" t="str">
        <f>IF(TEMPLATE_SPHERE="TKO",D45&amp;".0",D45&amp;".4")</f>
        <v>11.4</v>
      </c>
      <c r="E49" s="373" t="s">
        <v>349</v>
      </c>
      <c r="F49" s="1612"/>
      <c r="G49" s="1689" t="s">
        <v>350</v>
      </c>
      <c r="H49" s="412"/>
      <c r="J49" s="392">
        <v>23</v>
      </c>
    </row>
    <row r="50" spans="1:10" ht="24" customHeight="1">
      <c r="A50" s="394"/>
      <c r="B50" s="439"/>
      <c r="C50" s="394"/>
      <c r="D50" s="404"/>
      <c r="E50" s="352" t="s">
        <v>351</v>
      </c>
      <c r="F50" s="405"/>
      <c r="G50" s="1689" t="s">
        <v>352</v>
      </c>
      <c r="H50" s="413"/>
      <c r="J50" s="392">
        <v>23</v>
      </c>
    </row>
    <row r="51" spans="1:10" ht="24" customHeight="1">
      <c r="A51" s="789"/>
      <c r="B51" s="439"/>
      <c r="C51" s="429"/>
      <c r="D51" s="377">
        <f>D45+1</f>
        <v>12</v>
      </c>
      <c r="E51" s="465" t="s">
        <v>353</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74"/>
      <c r="D53" s="217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77"/>
      <c r="F53" s="2177"/>
      <c r="G53" s="2177"/>
      <c r="H53" s="391"/>
      <c r="I53" s="391"/>
      <c r="J53" s="397">
        <v>30</v>
      </c>
    </row>
    <row r="54" spans="1:10" s="397" customFormat="1" ht="42" customHeight="1">
      <c r="A54" s="394"/>
      <c r="B54" s="439"/>
      <c r="C54" s="2174"/>
      <c r="D54" s="2177"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77"/>
      <c r="F54" s="2177"/>
      <c r="G54" s="217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2234</v>
      </c>
      <c r="B1" s="2025" t="s">
        <v>2235</v>
      </c>
      <c r="C1" s="2500" t="s">
        <v>2236</v>
      </c>
      <c r="D1" s="2501"/>
      <c r="E1" s="767" t="s">
        <v>2237</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1662</v>
      </c>
      <c r="C4" s="690"/>
      <c r="D4" s="699"/>
      <c r="E4" s="767"/>
    </row>
    <row r="5" spans="1:5" ht="11.25" customHeight="1">
      <c r="A5" s="2030"/>
      <c r="B5" s="701" t="s">
        <v>1656</v>
      </c>
      <c r="C5" s="2031" t="s">
        <v>2001</v>
      </c>
      <c r="D5" s="2032" t="s">
        <v>2238</v>
      </c>
      <c r="E5" s="767"/>
    </row>
    <row r="6" spans="1:5" s="1776" customFormat="1" ht="11.25" customHeight="1">
      <c r="A6" s="2033"/>
      <c r="B6" s="701" t="s">
        <v>1666</v>
      </c>
      <c r="C6" s="690"/>
      <c r="D6" s="699"/>
      <c r="E6" s="767"/>
    </row>
    <row r="7" spans="1:5" ht="11.25" customHeight="1">
      <c r="A7" s="2034"/>
      <c r="B7" s="701" t="s">
        <v>1674</v>
      </c>
      <c r="C7" s="690"/>
      <c r="D7" s="699"/>
      <c r="E7" s="767"/>
    </row>
    <row r="8" spans="1:5" ht="11.25" customHeight="1">
      <c r="A8" s="692"/>
      <c r="B8" s="701" t="s">
        <v>1669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7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6" t="s">
        <v>2248</v>
      </c>
      <c r="B2" s="1776" t="s">
        <v>16</v>
      </c>
      <c r="C2" s="1776" t="s">
        <v>2249</v>
      </c>
      <c r="D2" s="1776" t="s">
        <v>2250</v>
      </c>
      <c r="E2" s="1776" t="s">
        <v>2251</v>
      </c>
      <c r="F2" s="1776" t="s">
        <v>2252</v>
      </c>
      <c r="G2" s="1776" t="s">
        <v>22</v>
      </c>
      <c r="H2" s="1776" t="s">
        <v>22</v>
      </c>
      <c r="I2" s="1776" t="s">
        <v>810</v>
      </c>
    </row>
    <row r="3" spans="1:9" ht="11.25" customHeight="1">
      <c r="A3" s="1776" t="s">
        <v>2248</v>
      </c>
      <c r="B3" s="1776" t="s">
        <v>16</v>
      </c>
      <c r="C3" s="1776" t="s">
        <v>2253</v>
      </c>
      <c r="D3" s="1776" t="s">
        <v>2254</v>
      </c>
      <c r="E3" s="1776" t="s">
        <v>2255</v>
      </c>
      <c r="F3" s="1776" t="s">
        <v>2256</v>
      </c>
      <c r="G3" s="1776" t="s">
        <v>2257</v>
      </c>
      <c r="H3" s="1776" t="s">
        <v>22</v>
      </c>
      <c r="I3" s="1776" t="s">
        <v>810</v>
      </c>
    </row>
    <row r="4" spans="1:9" ht="11.25" customHeight="1">
      <c r="A4" s="1776" t="s">
        <v>2248</v>
      </c>
      <c r="B4" s="1776" t="s">
        <v>16</v>
      </c>
      <c r="C4" s="1776" t="s">
        <v>2258</v>
      </c>
      <c r="D4" s="1776" t="s">
        <v>2259</v>
      </c>
      <c r="E4" s="1776" t="s">
        <v>2260</v>
      </c>
      <c r="F4" s="1776" t="s">
        <v>2256</v>
      </c>
      <c r="G4" s="1776" t="s">
        <v>22</v>
      </c>
      <c r="H4" s="1776" t="s">
        <v>22</v>
      </c>
      <c r="I4" s="1776" t="s">
        <v>810</v>
      </c>
    </row>
    <row r="5" spans="1:9" ht="11.25" customHeight="1">
      <c r="A5" s="1776" t="s">
        <v>2248</v>
      </c>
      <c r="B5" s="1776" t="s">
        <v>16</v>
      </c>
      <c r="C5" s="1776" t="s">
        <v>2261</v>
      </c>
      <c r="D5" s="1776" t="s">
        <v>2262</v>
      </c>
      <c r="E5" s="1776" t="s">
        <v>2263</v>
      </c>
      <c r="F5" s="1776" t="s">
        <v>2264</v>
      </c>
      <c r="G5" s="1776" t="s">
        <v>22</v>
      </c>
      <c r="H5" s="1776" t="s">
        <v>22</v>
      </c>
      <c r="I5" s="1776" t="s">
        <v>810</v>
      </c>
    </row>
    <row r="6" spans="1:9" ht="11.25" customHeight="1">
      <c r="A6" s="1776" t="s">
        <v>2248</v>
      </c>
      <c r="B6" s="1776" t="s">
        <v>16</v>
      </c>
      <c r="C6" s="1776" t="s">
        <v>2265</v>
      </c>
      <c r="D6" s="1776" t="s">
        <v>2262</v>
      </c>
      <c r="E6" s="1776" t="s">
        <v>2263</v>
      </c>
      <c r="F6" s="1776" t="s">
        <v>2266</v>
      </c>
      <c r="G6" s="1776" t="s">
        <v>2267</v>
      </c>
      <c r="H6" s="1776" t="s">
        <v>22</v>
      </c>
      <c r="I6" s="1776" t="s">
        <v>810</v>
      </c>
    </row>
    <row r="7" spans="1:9" ht="11.25" customHeight="1">
      <c r="A7" s="1776" t="s">
        <v>2248</v>
      </c>
      <c r="B7" s="1776" t="s">
        <v>16</v>
      </c>
      <c r="C7" s="1776" t="s">
        <v>2268</v>
      </c>
      <c r="D7" s="1776" t="s">
        <v>2269</v>
      </c>
      <c r="E7" s="1776" t="s">
        <v>2270</v>
      </c>
      <c r="F7" s="1776" t="s">
        <v>2271</v>
      </c>
      <c r="G7" s="1776" t="s">
        <v>2272</v>
      </c>
      <c r="H7" s="1776" t="s">
        <v>22</v>
      </c>
      <c r="I7" s="1776" t="s">
        <v>810</v>
      </c>
    </row>
    <row r="8" spans="1:9" ht="11.25" customHeight="1">
      <c r="A8" s="1776" t="s">
        <v>2248</v>
      </c>
      <c r="B8" s="1776" t="s">
        <v>16</v>
      </c>
      <c r="C8" s="1776" t="s">
        <v>2273</v>
      </c>
      <c r="D8" s="1776" t="s">
        <v>2274</v>
      </c>
      <c r="E8" s="1776" t="s">
        <v>2275</v>
      </c>
      <c r="F8" s="1776" t="s">
        <v>2276</v>
      </c>
      <c r="G8" s="1776" t="s">
        <v>2277</v>
      </c>
      <c r="H8" s="1776" t="s">
        <v>22</v>
      </c>
      <c r="I8" s="1776" t="s">
        <v>810</v>
      </c>
    </row>
    <row r="9" spans="1:9" ht="11.25" customHeight="1">
      <c r="A9" s="1776" t="s">
        <v>2248</v>
      </c>
      <c r="B9" s="1776" t="s">
        <v>16</v>
      </c>
      <c r="C9" s="1776" t="s">
        <v>2278</v>
      </c>
      <c r="D9" s="1776" t="s">
        <v>2279</v>
      </c>
      <c r="E9" s="1776" t="s">
        <v>2280</v>
      </c>
      <c r="F9" s="1776" t="s">
        <v>2281</v>
      </c>
      <c r="G9" s="1776" t="s">
        <v>2282</v>
      </c>
      <c r="H9" s="1776" t="s">
        <v>22</v>
      </c>
      <c r="I9" s="1776" t="s">
        <v>810</v>
      </c>
    </row>
    <row r="10" spans="1:9" ht="11.25" customHeight="1">
      <c r="A10" s="1776" t="s">
        <v>2248</v>
      </c>
      <c r="B10" s="1776" t="s">
        <v>16</v>
      </c>
      <c r="C10" s="1776" t="s">
        <v>2283</v>
      </c>
      <c r="D10" s="1776" t="s">
        <v>2284</v>
      </c>
      <c r="E10" s="1776" t="s">
        <v>2285</v>
      </c>
      <c r="F10" s="1776" t="s">
        <v>51</v>
      </c>
      <c r="G10" s="1776" t="s">
        <v>2286</v>
      </c>
      <c r="H10" s="1776" t="s">
        <v>22</v>
      </c>
      <c r="I10" s="1776" t="s">
        <v>810</v>
      </c>
    </row>
    <row r="11" spans="1:9" ht="11.25" customHeight="1">
      <c r="A11" s="1776" t="s">
        <v>2248</v>
      </c>
      <c r="B11" s="1776" t="s">
        <v>16</v>
      </c>
      <c r="C11" s="1776" t="s">
        <v>2287</v>
      </c>
      <c r="D11" s="1776" t="s">
        <v>2288</v>
      </c>
      <c r="E11" s="1776" t="s">
        <v>2289</v>
      </c>
      <c r="F11" s="1776" t="s">
        <v>2290</v>
      </c>
      <c r="G11" s="1776" t="s">
        <v>2291</v>
      </c>
      <c r="H11" s="1776" t="s">
        <v>22</v>
      </c>
      <c r="I11" s="1776" t="s">
        <v>810</v>
      </c>
    </row>
    <row r="12" spans="1:9" ht="11.25" customHeight="1">
      <c r="A12" s="1776" t="s">
        <v>2248</v>
      </c>
      <c r="B12" s="1776" t="s">
        <v>16</v>
      </c>
      <c r="C12" s="1776" t="s">
        <v>2292</v>
      </c>
      <c r="D12" s="1776" t="s">
        <v>2293</v>
      </c>
      <c r="E12" s="1776" t="s">
        <v>2294</v>
      </c>
      <c r="F12" s="1776" t="s">
        <v>2295</v>
      </c>
      <c r="G12" s="1776" t="s">
        <v>22</v>
      </c>
      <c r="H12" s="1776" t="s">
        <v>22</v>
      </c>
      <c r="I12" s="1776" t="s">
        <v>810</v>
      </c>
    </row>
    <row r="13" spans="1:9" ht="11.25" customHeight="1">
      <c r="A13" s="1776" t="s">
        <v>2248</v>
      </c>
      <c r="B13" s="1776" t="s">
        <v>16</v>
      </c>
      <c r="C13" s="1776" t="s">
        <v>2296</v>
      </c>
      <c r="D13" s="1776" t="s">
        <v>2297</v>
      </c>
      <c r="E13" s="1776" t="s">
        <v>2298</v>
      </c>
      <c r="F13" s="1776" t="s">
        <v>2299</v>
      </c>
      <c r="G13" s="1776" t="s">
        <v>2300</v>
      </c>
      <c r="H13" s="1776" t="s">
        <v>22</v>
      </c>
      <c r="I13" s="1776" t="s">
        <v>810</v>
      </c>
    </row>
    <row r="14" spans="1:9" ht="11.25" customHeight="1">
      <c r="A14" s="1776" t="s">
        <v>2248</v>
      </c>
      <c r="B14" s="1776" t="s">
        <v>16</v>
      </c>
      <c r="C14" s="1776" t="s">
        <v>2301</v>
      </c>
      <c r="D14" s="1776" t="s">
        <v>2302</v>
      </c>
      <c r="E14" s="1776" t="s">
        <v>2303</v>
      </c>
      <c r="F14" s="1776" t="s">
        <v>2252</v>
      </c>
      <c r="G14" s="1776" t="s">
        <v>2304</v>
      </c>
      <c r="H14" s="1776" t="s">
        <v>22</v>
      </c>
      <c r="I14" s="1776" t="s">
        <v>810</v>
      </c>
    </row>
    <row r="15" spans="1:9" ht="11.25" customHeight="1">
      <c r="A15" s="1776" t="s">
        <v>2248</v>
      </c>
      <c r="B15" s="1776" t="s">
        <v>16</v>
      </c>
      <c r="C15" s="1776" t="s">
        <v>2305</v>
      </c>
      <c r="D15" s="1776" t="s">
        <v>2306</v>
      </c>
      <c r="E15" s="1776" t="s">
        <v>2307</v>
      </c>
      <c r="F15" s="1776" t="s">
        <v>2281</v>
      </c>
      <c r="G15" s="1776" t="s">
        <v>2308</v>
      </c>
      <c r="H15" s="1776" t="s">
        <v>22</v>
      </c>
      <c r="I15" s="1776" t="s">
        <v>810</v>
      </c>
    </row>
    <row r="16" spans="1:9" ht="11.25" customHeight="1">
      <c r="A16" s="1776" t="s">
        <v>2248</v>
      </c>
      <c r="B16" s="1776" t="s">
        <v>16</v>
      </c>
      <c r="C16" s="1776" t="s">
        <v>2309</v>
      </c>
      <c r="D16" s="1776" t="s">
        <v>2310</v>
      </c>
      <c r="E16" s="1776" t="s">
        <v>2311</v>
      </c>
      <c r="F16" s="1776" t="s">
        <v>2312</v>
      </c>
      <c r="G16" s="1776" t="s">
        <v>22</v>
      </c>
      <c r="H16" s="1776" t="s">
        <v>22</v>
      </c>
      <c r="I16" s="1776" t="s">
        <v>810</v>
      </c>
    </row>
    <row r="17" spans="1:9" ht="11.25" customHeight="1">
      <c r="A17" s="1776" t="s">
        <v>2248</v>
      </c>
      <c r="B17" s="1776" t="s">
        <v>16</v>
      </c>
      <c r="C17" s="1776" t="s">
        <v>2313</v>
      </c>
      <c r="D17" s="1776" t="s">
        <v>2314</v>
      </c>
      <c r="E17" s="1776" t="s">
        <v>2315</v>
      </c>
      <c r="F17" s="1776" t="s">
        <v>2316</v>
      </c>
      <c r="G17" s="1776" t="s">
        <v>2317</v>
      </c>
      <c r="H17" s="1776" t="s">
        <v>22</v>
      </c>
      <c r="I17" s="1776" t="s">
        <v>810</v>
      </c>
    </row>
    <row r="18" spans="1:9" ht="11.25" customHeight="1">
      <c r="A18" s="1776" t="s">
        <v>2248</v>
      </c>
      <c r="B18" s="1776" t="s">
        <v>16</v>
      </c>
      <c r="C18" s="1776" t="s">
        <v>2318</v>
      </c>
      <c r="D18" s="1776" t="s">
        <v>2319</v>
      </c>
      <c r="E18" s="1776" t="s">
        <v>2320</v>
      </c>
      <c r="F18" s="1776" t="s">
        <v>2321</v>
      </c>
      <c r="G18" s="1776" t="s">
        <v>2322</v>
      </c>
      <c r="H18" s="1776" t="s">
        <v>22</v>
      </c>
      <c r="I18" s="1776" t="s">
        <v>810</v>
      </c>
    </row>
    <row r="19" spans="1:9" ht="11.25" customHeight="1">
      <c r="A19" s="1776" t="s">
        <v>2248</v>
      </c>
      <c r="B19" s="1776" t="s">
        <v>16</v>
      </c>
      <c r="C19" s="1776" t="s">
        <v>2323</v>
      </c>
      <c r="D19" s="1776" t="s">
        <v>2324</v>
      </c>
      <c r="E19" s="1776" t="s">
        <v>2325</v>
      </c>
      <c r="F19" s="1776" t="s">
        <v>2326</v>
      </c>
      <c r="G19" s="1776" t="s">
        <v>22</v>
      </c>
      <c r="H19" s="1776" t="s">
        <v>22</v>
      </c>
      <c r="I19" s="1776" t="s">
        <v>810</v>
      </c>
    </row>
    <row r="20" spans="1:9" ht="11.25" customHeight="1">
      <c r="A20" s="1776" t="s">
        <v>2248</v>
      </c>
      <c r="B20" s="1776" t="s">
        <v>16</v>
      </c>
      <c r="C20" s="1776" t="s">
        <v>2327</v>
      </c>
      <c r="D20" s="1776" t="s">
        <v>2328</v>
      </c>
      <c r="E20" s="1776" t="s">
        <v>2329</v>
      </c>
      <c r="F20" s="1776" t="s">
        <v>2330</v>
      </c>
      <c r="G20" s="1776" t="s">
        <v>2331</v>
      </c>
      <c r="H20" s="1776" t="s">
        <v>22</v>
      </c>
      <c r="I20" s="1776" t="s">
        <v>810</v>
      </c>
    </row>
    <row r="21" spans="1:9" ht="11.25" customHeight="1">
      <c r="A21" s="1776" t="s">
        <v>2248</v>
      </c>
      <c r="B21" s="1776" t="s">
        <v>16</v>
      </c>
      <c r="C21" s="1776" t="s">
        <v>2332</v>
      </c>
      <c r="D21" s="1776" t="s">
        <v>2333</v>
      </c>
      <c r="E21" s="1776" t="s">
        <v>2334</v>
      </c>
      <c r="F21" s="1776" t="s">
        <v>2335</v>
      </c>
      <c r="G21" s="1776" t="s">
        <v>2336</v>
      </c>
      <c r="H21" s="1776" t="s">
        <v>22</v>
      </c>
      <c r="I21" s="1776" t="s">
        <v>810</v>
      </c>
    </row>
    <row r="22" spans="1:9" ht="11.25" customHeight="1">
      <c r="A22" s="1776" t="s">
        <v>2248</v>
      </c>
      <c r="B22" s="1776" t="s">
        <v>16</v>
      </c>
      <c r="C22" s="1776" t="s">
        <v>2337</v>
      </c>
      <c r="D22" s="1776" t="s">
        <v>2338</v>
      </c>
      <c r="E22" s="1776" t="s">
        <v>2339</v>
      </c>
      <c r="F22" s="1776" t="s">
        <v>2256</v>
      </c>
      <c r="G22" s="1776" t="s">
        <v>2340</v>
      </c>
      <c r="H22" s="1776" t="s">
        <v>2341</v>
      </c>
      <c r="I22" s="1776" t="s">
        <v>810</v>
      </c>
    </row>
    <row r="23" spans="1:9" ht="11.25" customHeight="1">
      <c r="A23" s="1776" t="s">
        <v>2248</v>
      </c>
      <c r="B23" s="1776" t="s">
        <v>16</v>
      </c>
      <c r="C23" s="1776" t="s">
        <v>2342</v>
      </c>
      <c r="D23" s="1776" t="s">
        <v>2343</v>
      </c>
      <c r="E23" s="1776" t="s">
        <v>2344</v>
      </c>
      <c r="F23" s="1776" t="s">
        <v>2345</v>
      </c>
      <c r="G23" s="1776" t="s">
        <v>2346</v>
      </c>
      <c r="H23" s="1776" t="s">
        <v>22</v>
      </c>
      <c r="I23" s="1776" t="s">
        <v>810</v>
      </c>
    </row>
    <row r="24" spans="1:9" ht="11.25" customHeight="1">
      <c r="A24" s="1776" t="s">
        <v>2248</v>
      </c>
      <c r="B24" s="1776" t="s">
        <v>16</v>
      </c>
      <c r="C24" s="1776" t="s">
        <v>2347</v>
      </c>
      <c r="D24" s="1776" t="s">
        <v>2348</v>
      </c>
      <c r="E24" s="1776" t="s">
        <v>2349</v>
      </c>
      <c r="F24" s="1776" t="s">
        <v>2350</v>
      </c>
      <c r="G24" s="1776" t="s">
        <v>2351</v>
      </c>
      <c r="H24" s="1776" t="s">
        <v>22</v>
      </c>
      <c r="I24" s="1776" t="s">
        <v>810</v>
      </c>
    </row>
    <row r="25" spans="1:9" ht="11.25" customHeight="1">
      <c r="A25" s="1776" t="s">
        <v>2248</v>
      </c>
      <c r="B25" s="1776" t="s">
        <v>16</v>
      </c>
      <c r="C25" s="1776" t="s">
        <v>2352</v>
      </c>
      <c r="D25" s="1776" t="s">
        <v>2353</v>
      </c>
      <c r="E25" s="1776" t="s">
        <v>2354</v>
      </c>
      <c r="F25" s="1776" t="s">
        <v>2281</v>
      </c>
      <c r="G25" s="1776" t="s">
        <v>2355</v>
      </c>
      <c r="H25" s="1776" t="s">
        <v>22</v>
      </c>
      <c r="I25" s="1776" t="s">
        <v>810</v>
      </c>
    </row>
    <row r="26" spans="1:9" ht="11.25" customHeight="1">
      <c r="A26" s="1776" t="s">
        <v>2248</v>
      </c>
      <c r="B26" s="1776" t="s">
        <v>16</v>
      </c>
      <c r="C26" s="1776" t="s">
        <v>2356</v>
      </c>
      <c r="D26" s="1776" t="s">
        <v>2357</v>
      </c>
      <c r="E26" s="1776" t="s">
        <v>2358</v>
      </c>
      <c r="F26" s="1776" t="s">
        <v>577</v>
      </c>
      <c r="G26" s="1776" t="s">
        <v>22</v>
      </c>
      <c r="H26" s="1776" t="s">
        <v>22</v>
      </c>
      <c r="I26" s="1776" t="s">
        <v>810</v>
      </c>
    </row>
    <row r="27" spans="1:9" ht="11.25" customHeight="1">
      <c r="A27" s="1776" t="s">
        <v>2248</v>
      </c>
      <c r="B27" s="1776" t="s">
        <v>16</v>
      </c>
      <c r="C27" s="1776" t="s">
        <v>22</v>
      </c>
      <c r="D27" s="1776" t="s">
        <v>2359</v>
      </c>
      <c r="E27" s="1776" t="s">
        <v>2360</v>
      </c>
      <c r="F27" s="1776" t="s">
        <v>2345</v>
      </c>
      <c r="G27" s="1776" t="s">
        <v>22</v>
      </c>
      <c r="H27" s="1776" t="s">
        <v>22</v>
      </c>
      <c r="I27" s="1776" t="s">
        <v>810</v>
      </c>
    </row>
    <row r="28" spans="1:9" ht="11.25" customHeight="1">
      <c r="A28" s="1776" t="s">
        <v>2248</v>
      </c>
      <c r="B28" s="1776" t="s">
        <v>16</v>
      </c>
      <c r="C28" s="1776" t="s">
        <v>2361</v>
      </c>
      <c r="D28" s="1776" t="s">
        <v>2362</v>
      </c>
      <c r="E28" s="1776" t="s">
        <v>2363</v>
      </c>
      <c r="F28" s="1776" t="s">
        <v>2364</v>
      </c>
      <c r="G28" s="1776" t="s">
        <v>2365</v>
      </c>
      <c r="H28" s="1776" t="s">
        <v>22</v>
      </c>
      <c r="I28" s="1776" t="s">
        <v>810</v>
      </c>
    </row>
    <row r="29" spans="1:9" ht="11.25" customHeight="1">
      <c r="A29" s="1776" t="s">
        <v>2248</v>
      </c>
      <c r="B29" s="1776" t="s">
        <v>16</v>
      </c>
      <c r="C29" s="1776" t="s">
        <v>2366</v>
      </c>
      <c r="D29" s="1776" t="s">
        <v>2367</v>
      </c>
      <c r="E29" s="1776" t="s">
        <v>2368</v>
      </c>
      <c r="F29" s="1776" t="s">
        <v>2369</v>
      </c>
      <c r="G29" s="1776" t="s">
        <v>2370</v>
      </c>
      <c r="H29" s="1776" t="s">
        <v>22</v>
      </c>
      <c r="I29" s="1776" t="s">
        <v>810</v>
      </c>
    </row>
    <row r="30" spans="1:9" ht="11.25" customHeight="1">
      <c r="A30" s="1776" t="s">
        <v>2248</v>
      </c>
      <c r="B30" s="1776" t="s">
        <v>16</v>
      </c>
      <c r="C30" s="1776" t="s">
        <v>2371</v>
      </c>
      <c r="D30" s="1776" t="s">
        <v>2372</v>
      </c>
      <c r="E30" s="1776" t="s">
        <v>2373</v>
      </c>
      <c r="F30" s="1776" t="s">
        <v>2374</v>
      </c>
      <c r="G30" s="1776" t="s">
        <v>2375</v>
      </c>
      <c r="H30" s="1776" t="s">
        <v>22</v>
      </c>
      <c r="I30" s="1776" t="s">
        <v>810</v>
      </c>
    </row>
    <row r="31" spans="1:9" ht="11.25" customHeight="1">
      <c r="A31" s="1776" t="s">
        <v>2248</v>
      </c>
      <c r="B31" s="1776" t="s">
        <v>16</v>
      </c>
      <c r="C31" s="1776" t="s">
        <v>2376</v>
      </c>
      <c r="D31" s="1776" t="s">
        <v>2377</v>
      </c>
      <c r="E31" s="1776" t="s">
        <v>2373</v>
      </c>
      <c r="F31" s="1776" t="s">
        <v>2378</v>
      </c>
      <c r="G31" s="1776" t="s">
        <v>2375</v>
      </c>
      <c r="H31" s="1776" t="s">
        <v>22</v>
      </c>
      <c r="I31" s="1776" t="s">
        <v>810</v>
      </c>
    </row>
    <row r="32" spans="1:9" ht="11.25" customHeight="1">
      <c r="A32" s="1776" t="s">
        <v>2248</v>
      </c>
      <c r="B32" s="1776" t="s">
        <v>16</v>
      </c>
      <c r="C32" s="1776" t="s">
        <v>2379</v>
      </c>
      <c r="D32" s="1776" t="s">
        <v>2380</v>
      </c>
      <c r="E32" s="1776" t="s">
        <v>2381</v>
      </c>
      <c r="F32" s="1776" t="s">
        <v>2364</v>
      </c>
      <c r="G32" s="1776" t="s">
        <v>2382</v>
      </c>
      <c r="H32" s="1776" t="s">
        <v>22</v>
      </c>
      <c r="I32" s="1776" t="s">
        <v>810</v>
      </c>
    </row>
    <row r="33" spans="1:9" ht="11.25" customHeight="1">
      <c r="A33" s="1776" t="s">
        <v>2248</v>
      </c>
      <c r="B33" s="1776" t="s">
        <v>16</v>
      </c>
      <c r="C33" s="1776" t="s">
        <v>2383</v>
      </c>
      <c r="D33" s="1776" t="s">
        <v>2384</v>
      </c>
      <c r="E33" s="1776" t="s">
        <v>2385</v>
      </c>
      <c r="F33" s="1776" t="s">
        <v>2386</v>
      </c>
      <c r="G33" s="1776" t="s">
        <v>2387</v>
      </c>
      <c r="H33" s="1776" t="s">
        <v>22</v>
      </c>
      <c r="I33" s="1776" t="s">
        <v>810</v>
      </c>
    </row>
    <row r="34" spans="1:9" ht="11.25" customHeight="1">
      <c r="A34" s="1776" t="s">
        <v>2248</v>
      </c>
      <c r="B34" s="1776" t="s">
        <v>16</v>
      </c>
      <c r="C34" s="1776" t="s">
        <v>2388</v>
      </c>
      <c r="D34" s="1776" t="s">
        <v>2389</v>
      </c>
      <c r="E34" s="1776" t="s">
        <v>2390</v>
      </c>
      <c r="F34" s="1776" t="s">
        <v>2374</v>
      </c>
      <c r="G34" s="1776" t="s">
        <v>2391</v>
      </c>
      <c r="H34" s="1776" t="s">
        <v>22</v>
      </c>
      <c r="I34" s="1776" t="s">
        <v>810</v>
      </c>
    </row>
    <row r="35" spans="1:9" ht="11.25" customHeight="1">
      <c r="A35" s="1776" t="s">
        <v>2248</v>
      </c>
      <c r="B35" s="1776" t="s">
        <v>16</v>
      </c>
      <c r="C35" s="1776" t="s">
        <v>2392</v>
      </c>
      <c r="D35" s="1776" t="s">
        <v>2393</v>
      </c>
      <c r="E35" s="1776" t="s">
        <v>2394</v>
      </c>
      <c r="F35" s="1776" t="s">
        <v>2256</v>
      </c>
      <c r="G35" s="1776" t="s">
        <v>22</v>
      </c>
      <c r="H35" s="1776" t="s">
        <v>22</v>
      </c>
      <c r="I35" s="1776" t="s">
        <v>810</v>
      </c>
    </row>
    <row r="36" spans="1:9" ht="11.25" customHeight="1">
      <c r="A36" s="1776" t="s">
        <v>2248</v>
      </c>
      <c r="B36" s="1776" t="s">
        <v>16</v>
      </c>
      <c r="C36" s="1776" t="s">
        <v>2395</v>
      </c>
      <c r="D36" s="1776" t="s">
        <v>2396</v>
      </c>
      <c r="E36" s="1776" t="s">
        <v>2397</v>
      </c>
      <c r="F36" s="1776" t="s">
        <v>2398</v>
      </c>
      <c r="G36" s="1776" t="s">
        <v>2399</v>
      </c>
      <c r="H36" s="1776" t="s">
        <v>22</v>
      </c>
      <c r="I36" s="1776" t="s">
        <v>810</v>
      </c>
    </row>
    <row r="37" spans="1:9" ht="11.25" customHeight="1">
      <c r="A37" s="1776" t="s">
        <v>2248</v>
      </c>
      <c r="B37" s="1776" t="s">
        <v>16</v>
      </c>
      <c r="C37" s="1776" t="s">
        <v>2400</v>
      </c>
      <c r="D37" s="1776" t="s">
        <v>2401</v>
      </c>
      <c r="E37" s="1776" t="s">
        <v>2402</v>
      </c>
      <c r="F37" s="1776" t="s">
        <v>2398</v>
      </c>
      <c r="G37" s="1776" t="s">
        <v>2403</v>
      </c>
      <c r="H37" s="1776" t="s">
        <v>22</v>
      </c>
      <c r="I37" s="1776" t="s">
        <v>810</v>
      </c>
    </row>
    <row r="38" spans="1:9" ht="11.25" customHeight="1">
      <c r="A38" s="1776" t="s">
        <v>2248</v>
      </c>
      <c r="B38" s="1776" t="s">
        <v>16</v>
      </c>
      <c r="C38" s="1776" t="s">
        <v>2404</v>
      </c>
      <c r="D38" s="1776" t="s">
        <v>2405</v>
      </c>
      <c r="E38" s="1776" t="s">
        <v>2406</v>
      </c>
      <c r="F38" s="1776" t="s">
        <v>2407</v>
      </c>
      <c r="G38" s="1776" t="s">
        <v>2408</v>
      </c>
      <c r="H38" s="1776" t="s">
        <v>22</v>
      </c>
      <c r="I38" s="1776" t="s">
        <v>810</v>
      </c>
    </row>
    <row r="39" spans="1:9" ht="11.25" customHeight="1">
      <c r="A39" s="1776" t="s">
        <v>2248</v>
      </c>
      <c r="B39" s="1776" t="s">
        <v>16</v>
      </c>
      <c r="C39" s="1776" t="s">
        <v>2409</v>
      </c>
      <c r="D39" s="1776" t="s">
        <v>2410</v>
      </c>
      <c r="E39" s="1776" t="s">
        <v>2411</v>
      </c>
      <c r="F39" s="1776" t="s">
        <v>2412</v>
      </c>
      <c r="G39" s="1776" t="s">
        <v>2413</v>
      </c>
      <c r="H39" s="1776" t="s">
        <v>22</v>
      </c>
      <c r="I39" s="1776" t="s">
        <v>810</v>
      </c>
    </row>
    <row r="40" spans="1:9" ht="11.25" customHeight="1">
      <c r="A40" s="1776" t="s">
        <v>2248</v>
      </c>
      <c r="B40" s="1776" t="s">
        <v>16</v>
      </c>
      <c r="C40" s="1776" t="s">
        <v>2414</v>
      </c>
      <c r="D40" s="1776" t="s">
        <v>2415</v>
      </c>
      <c r="E40" s="1776" t="s">
        <v>2416</v>
      </c>
      <c r="F40" s="1776" t="s">
        <v>2412</v>
      </c>
      <c r="G40" s="1776" t="s">
        <v>2417</v>
      </c>
      <c r="H40" s="1776" t="s">
        <v>22</v>
      </c>
      <c r="I40" s="1776" t="s">
        <v>810</v>
      </c>
    </row>
    <row r="41" spans="1:9" ht="11.25" customHeight="1">
      <c r="A41" s="1776" t="s">
        <v>2248</v>
      </c>
      <c r="B41" s="1776" t="s">
        <v>16</v>
      </c>
      <c r="C41" s="1776" t="s">
        <v>2418</v>
      </c>
      <c r="D41" s="1776" t="s">
        <v>2419</v>
      </c>
      <c r="E41" s="1776" t="s">
        <v>2420</v>
      </c>
      <c r="F41" s="1776" t="s">
        <v>2374</v>
      </c>
      <c r="G41" s="1776" t="s">
        <v>2421</v>
      </c>
      <c r="H41" s="1776" t="s">
        <v>22</v>
      </c>
      <c r="I41" s="1776" t="s">
        <v>810</v>
      </c>
    </row>
    <row r="42" spans="1:9" ht="11.25" customHeight="1">
      <c r="A42" s="1776" t="s">
        <v>2248</v>
      </c>
      <c r="B42" s="1776" t="s">
        <v>16</v>
      </c>
      <c r="C42" s="1776" t="s">
        <v>2422</v>
      </c>
      <c r="D42" s="1776" t="s">
        <v>2423</v>
      </c>
      <c r="E42" s="1776" t="s">
        <v>2424</v>
      </c>
      <c r="F42" s="1776" t="s">
        <v>2425</v>
      </c>
      <c r="G42" s="1776" t="s">
        <v>2426</v>
      </c>
      <c r="H42" s="1776" t="s">
        <v>22</v>
      </c>
      <c r="I42" s="1776" t="s">
        <v>810</v>
      </c>
    </row>
    <row r="43" spans="1:9" ht="11.25" customHeight="1">
      <c r="A43" s="1776" t="s">
        <v>2248</v>
      </c>
      <c r="B43" s="1776" t="s">
        <v>16</v>
      </c>
      <c r="C43" s="1776" t="s">
        <v>2427</v>
      </c>
      <c r="D43" s="1776" t="s">
        <v>2428</v>
      </c>
      <c r="E43" s="1776" t="s">
        <v>2429</v>
      </c>
      <c r="F43" s="1776" t="s">
        <v>2430</v>
      </c>
      <c r="G43" s="1776" t="s">
        <v>2431</v>
      </c>
      <c r="H43" s="1776" t="s">
        <v>22</v>
      </c>
      <c r="I43" s="1776" t="s">
        <v>810</v>
      </c>
    </row>
    <row r="44" spans="1:9" ht="11.25" customHeight="1">
      <c r="A44" s="1776" t="s">
        <v>2248</v>
      </c>
      <c r="B44" s="1776" t="s">
        <v>16</v>
      </c>
      <c r="C44" s="1776" t="s">
        <v>2432</v>
      </c>
      <c r="D44" s="1776" t="s">
        <v>2433</v>
      </c>
      <c r="E44" s="1776" t="s">
        <v>2434</v>
      </c>
      <c r="F44" s="1776" t="s">
        <v>2330</v>
      </c>
      <c r="G44" s="1776" t="s">
        <v>2435</v>
      </c>
      <c r="H44" s="1776" t="s">
        <v>22</v>
      </c>
      <c r="I44" s="1776" t="s">
        <v>810</v>
      </c>
    </row>
    <row r="45" spans="1:9" ht="11.25" customHeight="1">
      <c r="A45" s="1776" t="s">
        <v>2248</v>
      </c>
      <c r="B45" s="1776" t="s">
        <v>16</v>
      </c>
      <c r="C45" s="1776" t="s">
        <v>2436</v>
      </c>
      <c r="D45" s="1776" t="s">
        <v>2437</v>
      </c>
      <c r="E45" s="1776" t="s">
        <v>2438</v>
      </c>
      <c r="F45" s="1776" t="s">
        <v>2439</v>
      </c>
      <c r="G45" s="1776" t="s">
        <v>2440</v>
      </c>
      <c r="H45" s="1776" t="s">
        <v>22</v>
      </c>
      <c r="I45" s="1776" t="s">
        <v>810</v>
      </c>
    </row>
    <row r="46" spans="1:9" ht="11.25" customHeight="1">
      <c r="A46" s="1776" t="s">
        <v>2248</v>
      </c>
      <c r="B46" s="1776" t="s">
        <v>16</v>
      </c>
      <c r="C46" s="1776" t="s">
        <v>2441</v>
      </c>
      <c r="D46" s="1776" t="s">
        <v>2442</v>
      </c>
      <c r="E46" s="1776" t="s">
        <v>2443</v>
      </c>
      <c r="F46" s="1776" t="s">
        <v>2444</v>
      </c>
      <c r="G46" s="1776" t="s">
        <v>2445</v>
      </c>
      <c r="H46" s="1776" t="s">
        <v>2446</v>
      </c>
      <c r="I46" s="1776" t="s">
        <v>810</v>
      </c>
    </row>
    <row r="47" spans="1:9" ht="11.25" customHeight="1">
      <c r="A47" s="1776" t="s">
        <v>2248</v>
      </c>
      <c r="B47" s="1776" t="s">
        <v>16</v>
      </c>
      <c r="C47" s="1776" t="s">
        <v>2447</v>
      </c>
      <c r="D47" s="1776" t="s">
        <v>2448</v>
      </c>
      <c r="E47" s="1776" t="s">
        <v>2449</v>
      </c>
      <c r="F47" s="1776" t="s">
        <v>2345</v>
      </c>
      <c r="G47" s="1776" t="s">
        <v>2435</v>
      </c>
      <c r="H47" s="1776" t="s">
        <v>22</v>
      </c>
      <c r="I47" s="1776" t="s">
        <v>810</v>
      </c>
    </row>
    <row r="48" spans="1:9" ht="11.25" customHeight="1">
      <c r="A48" s="1776" t="s">
        <v>2248</v>
      </c>
      <c r="B48" s="1776" t="s">
        <v>16</v>
      </c>
      <c r="C48" s="1776" t="s">
        <v>2450</v>
      </c>
      <c r="D48" s="1776" t="s">
        <v>2451</v>
      </c>
      <c r="E48" s="1776" t="s">
        <v>2452</v>
      </c>
      <c r="F48" s="1776" t="s">
        <v>2312</v>
      </c>
      <c r="G48" s="1776" t="s">
        <v>2453</v>
      </c>
      <c r="H48" s="1776" t="s">
        <v>22</v>
      </c>
      <c r="I48" s="1776" t="s">
        <v>810</v>
      </c>
    </row>
    <row r="49" spans="1:9" ht="11.25" customHeight="1">
      <c r="A49" s="1776" t="s">
        <v>2248</v>
      </c>
      <c r="B49" s="1776" t="s">
        <v>16</v>
      </c>
      <c r="C49" s="1776" t="s">
        <v>2454</v>
      </c>
      <c r="D49" s="1776" t="s">
        <v>2455</v>
      </c>
      <c r="E49" s="1776" t="s">
        <v>2456</v>
      </c>
      <c r="F49" s="1776" t="s">
        <v>2457</v>
      </c>
      <c r="G49" s="1776" t="s">
        <v>2458</v>
      </c>
      <c r="H49" s="1776" t="s">
        <v>22</v>
      </c>
      <c r="I49" s="1776" t="s">
        <v>810</v>
      </c>
    </row>
    <row r="50" spans="1:9" ht="11.25" customHeight="1">
      <c r="A50" s="1776" t="s">
        <v>2248</v>
      </c>
      <c r="B50" s="1776" t="s">
        <v>16</v>
      </c>
      <c r="C50" s="1776" t="s">
        <v>2459</v>
      </c>
      <c r="D50" s="1776" t="s">
        <v>2460</v>
      </c>
      <c r="E50" s="1776" t="s">
        <v>2461</v>
      </c>
      <c r="F50" s="1776" t="s">
        <v>2350</v>
      </c>
      <c r="G50" s="1776" t="s">
        <v>2462</v>
      </c>
      <c r="H50" s="1776" t="s">
        <v>2391</v>
      </c>
      <c r="I50" s="1776" t="s">
        <v>810</v>
      </c>
    </row>
    <row r="51" spans="1:9" ht="11.25" customHeight="1">
      <c r="A51" s="1776" t="s">
        <v>2248</v>
      </c>
      <c r="B51" s="1776" t="s">
        <v>16</v>
      </c>
      <c r="C51" s="1776" t="s">
        <v>2463</v>
      </c>
      <c r="D51" s="1776" t="s">
        <v>2464</v>
      </c>
      <c r="E51" s="1776" t="s">
        <v>2465</v>
      </c>
      <c r="F51" s="1776" t="s">
        <v>2439</v>
      </c>
      <c r="G51" s="1776" t="s">
        <v>2466</v>
      </c>
      <c r="H51" s="1776" t="s">
        <v>22</v>
      </c>
      <c r="I51" s="1776" t="s">
        <v>810</v>
      </c>
    </row>
    <row r="52" spans="1:9" ht="11.25" customHeight="1">
      <c r="A52" s="1776" t="s">
        <v>2248</v>
      </c>
      <c r="B52" s="1776" t="s">
        <v>16</v>
      </c>
      <c r="C52" s="1776" t="s">
        <v>2467</v>
      </c>
      <c r="D52" s="1776" t="s">
        <v>2468</v>
      </c>
      <c r="E52" s="1776" t="s">
        <v>2469</v>
      </c>
      <c r="F52" s="1776" t="s">
        <v>2345</v>
      </c>
      <c r="G52" s="1776" t="s">
        <v>2470</v>
      </c>
      <c r="H52" s="1776" t="s">
        <v>22</v>
      </c>
      <c r="I52" s="1776" t="s">
        <v>810</v>
      </c>
    </row>
    <row r="53" spans="1:9" ht="11.25" customHeight="1">
      <c r="A53" s="1776" t="s">
        <v>2248</v>
      </c>
      <c r="B53" s="1776" t="s">
        <v>16</v>
      </c>
      <c r="C53" s="1776" t="s">
        <v>2471</v>
      </c>
      <c r="D53" s="1776" t="s">
        <v>2472</v>
      </c>
      <c r="E53" s="1776" t="s">
        <v>2473</v>
      </c>
      <c r="F53" s="1776" t="s">
        <v>2364</v>
      </c>
      <c r="G53" s="1776" t="s">
        <v>2474</v>
      </c>
      <c r="H53" s="1776" t="s">
        <v>22</v>
      </c>
      <c r="I53" s="1776" t="s">
        <v>810</v>
      </c>
    </row>
    <row r="54" spans="1:9" ht="11.25" customHeight="1">
      <c r="A54" s="1776" t="s">
        <v>2248</v>
      </c>
      <c r="B54" s="1776" t="s">
        <v>16</v>
      </c>
      <c r="C54" s="1776" t="s">
        <v>2475</v>
      </c>
      <c r="D54" s="1776" t="s">
        <v>2476</v>
      </c>
      <c r="E54" s="1776" t="s">
        <v>2477</v>
      </c>
      <c r="F54" s="1776" t="s">
        <v>2478</v>
      </c>
      <c r="G54" s="1776" t="s">
        <v>2479</v>
      </c>
      <c r="H54" s="1776" t="s">
        <v>22</v>
      </c>
      <c r="I54" s="1776" t="s">
        <v>810</v>
      </c>
    </row>
    <row r="55" spans="1:9" ht="11.25" customHeight="1">
      <c r="A55" s="1776" t="s">
        <v>2248</v>
      </c>
      <c r="B55" s="1776" t="s">
        <v>16</v>
      </c>
      <c r="C55" s="1776" t="s">
        <v>2480</v>
      </c>
      <c r="D55" s="1776" t="s">
        <v>2481</v>
      </c>
      <c r="E55" s="1776" t="s">
        <v>2482</v>
      </c>
      <c r="F55" s="1776" t="s">
        <v>2483</v>
      </c>
      <c r="G55" s="1776" t="s">
        <v>2484</v>
      </c>
      <c r="H55" s="1776" t="s">
        <v>22</v>
      </c>
      <c r="I55" s="1776" t="s">
        <v>810</v>
      </c>
    </row>
    <row r="56" spans="1:9" ht="11.25" customHeight="1">
      <c r="A56" s="1776" t="s">
        <v>2248</v>
      </c>
      <c r="B56" s="1776" t="s">
        <v>16</v>
      </c>
      <c r="C56" s="1776" t="s">
        <v>2485</v>
      </c>
      <c r="D56" s="1776" t="s">
        <v>2486</v>
      </c>
      <c r="E56" s="1776" t="s">
        <v>2487</v>
      </c>
      <c r="F56" s="1776" t="s">
        <v>2488</v>
      </c>
      <c r="G56" s="1776" t="s">
        <v>2489</v>
      </c>
      <c r="H56" s="1776" t="s">
        <v>22</v>
      </c>
      <c r="I56" s="1776" t="s">
        <v>810</v>
      </c>
    </row>
    <row r="57" spans="1:9" ht="11.25" customHeight="1">
      <c r="A57" s="1776" t="s">
        <v>2248</v>
      </c>
      <c r="B57" s="1776" t="s">
        <v>16</v>
      </c>
      <c r="C57" s="1776" t="s">
        <v>2490</v>
      </c>
      <c r="D57" s="1776" t="s">
        <v>2491</v>
      </c>
      <c r="E57" s="1776" t="s">
        <v>2492</v>
      </c>
      <c r="F57" s="1776" t="s">
        <v>2430</v>
      </c>
      <c r="G57" s="1776" t="s">
        <v>2493</v>
      </c>
      <c r="H57" s="1776" t="s">
        <v>22</v>
      </c>
      <c r="I57" s="1776" t="s">
        <v>810</v>
      </c>
    </row>
    <row r="58" spans="1:9" ht="11.25" customHeight="1">
      <c r="A58" s="1776" t="s">
        <v>2248</v>
      </c>
      <c r="B58" s="1776" t="s">
        <v>16</v>
      </c>
      <c r="C58" s="1776" t="s">
        <v>2494</v>
      </c>
      <c r="D58" s="1776" t="s">
        <v>2495</v>
      </c>
      <c r="E58" s="1776" t="s">
        <v>2496</v>
      </c>
      <c r="F58" s="1776" t="s">
        <v>2497</v>
      </c>
      <c r="G58" s="1776" t="s">
        <v>2498</v>
      </c>
      <c r="H58" s="1776" t="s">
        <v>22</v>
      </c>
      <c r="I58" s="1776" t="s">
        <v>810</v>
      </c>
    </row>
    <row r="59" spans="1:9" ht="11.25" customHeight="1">
      <c r="A59" s="1776" t="s">
        <v>2248</v>
      </c>
      <c r="B59" s="1776" t="s">
        <v>16</v>
      </c>
      <c r="C59" s="1776" t="s">
        <v>2499</v>
      </c>
      <c r="D59" s="1776" t="s">
        <v>2500</v>
      </c>
      <c r="E59" s="1776" t="s">
        <v>2501</v>
      </c>
      <c r="F59" s="1776" t="s">
        <v>2364</v>
      </c>
      <c r="G59" s="1776" t="s">
        <v>2502</v>
      </c>
      <c r="H59" s="1776" t="s">
        <v>22</v>
      </c>
      <c r="I59" s="1776" t="s">
        <v>810</v>
      </c>
    </row>
    <row r="60" spans="1:9" ht="11.25" customHeight="1">
      <c r="A60" s="1776" t="s">
        <v>2248</v>
      </c>
      <c r="B60" s="1776" t="s">
        <v>16</v>
      </c>
      <c r="C60" s="1776" t="s">
        <v>2503</v>
      </c>
      <c r="D60" s="1776" t="s">
        <v>2504</v>
      </c>
      <c r="E60" s="1776" t="s">
        <v>2505</v>
      </c>
      <c r="F60" s="1776" t="s">
        <v>2506</v>
      </c>
      <c r="G60" s="1776" t="s">
        <v>2507</v>
      </c>
      <c r="H60" s="1776" t="s">
        <v>22</v>
      </c>
      <c r="I60" s="1776" t="s">
        <v>810</v>
      </c>
    </row>
    <row r="61" spans="1:9" ht="11.25" customHeight="1">
      <c r="A61" s="1776" t="s">
        <v>2248</v>
      </c>
      <c r="B61" s="1776" t="s">
        <v>16</v>
      </c>
      <c r="C61" s="1776" t="s">
        <v>2508</v>
      </c>
      <c r="D61" s="1776" t="s">
        <v>2509</v>
      </c>
      <c r="E61" s="1776" t="s">
        <v>2510</v>
      </c>
      <c r="F61" s="1776" t="s">
        <v>2312</v>
      </c>
      <c r="G61" s="1776" t="s">
        <v>2511</v>
      </c>
      <c r="H61" s="1776" t="s">
        <v>22</v>
      </c>
      <c r="I61" s="1776" t="s">
        <v>810</v>
      </c>
    </row>
    <row r="62" spans="1:9" ht="11.25" customHeight="1">
      <c r="A62" s="1776" t="s">
        <v>2248</v>
      </c>
      <c r="B62" s="1776" t="s">
        <v>16</v>
      </c>
      <c r="C62" s="1776" t="s">
        <v>2512</v>
      </c>
      <c r="D62" s="1776" t="s">
        <v>2513</v>
      </c>
      <c r="E62" s="1776" t="s">
        <v>2514</v>
      </c>
      <c r="F62" s="1776" t="s">
        <v>2515</v>
      </c>
      <c r="G62" s="1776" t="s">
        <v>2516</v>
      </c>
      <c r="H62" s="1776" t="s">
        <v>22</v>
      </c>
      <c r="I62" s="1776" t="s">
        <v>810</v>
      </c>
    </row>
    <row r="63" spans="1:9" ht="11.25" customHeight="1">
      <c r="A63" s="1776" t="s">
        <v>2248</v>
      </c>
      <c r="B63" s="1776" t="s">
        <v>16</v>
      </c>
      <c r="C63" s="1776" t="s">
        <v>2517</v>
      </c>
      <c r="D63" s="1776" t="s">
        <v>2518</v>
      </c>
      <c r="E63" s="1776" t="s">
        <v>2519</v>
      </c>
      <c r="F63" s="1776" t="s">
        <v>2312</v>
      </c>
      <c r="G63" s="1776" t="s">
        <v>2520</v>
      </c>
      <c r="H63" s="1776" t="s">
        <v>22</v>
      </c>
      <c r="I63" s="1776" t="s">
        <v>810</v>
      </c>
    </row>
    <row r="64" spans="1:9" ht="11.25" customHeight="1">
      <c r="A64" s="1776" t="s">
        <v>2248</v>
      </c>
      <c r="B64" s="1776" t="s">
        <v>16</v>
      </c>
      <c r="C64" s="1776" t="s">
        <v>2521</v>
      </c>
      <c r="D64" s="1776" t="s">
        <v>2522</v>
      </c>
      <c r="E64" s="1776" t="s">
        <v>2523</v>
      </c>
      <c r="F64" s="1776" t="s">
        <v>2312</v>
      </c>
      <c r="G64" s="1776" t="s">
        <v>2524</v>
      </c>
      <c r="H64" s="1776" t="s">
        <v>22</v>
      </c>
      <c r="I64" s="1776" t="s">
        <v>810</v>
      </c>
    </row>
    <row r="65" spans="1:9" ht="11.25" customHeight="1">
      <c r="A65" s="1776" t="s">
        <v>2248</v>
      </c>
      <c r="B65" s="1776" t="s">
        <v>16</v>
      </c>
      <c r="C65" s="1776" t="s">
        <v>2525</v>
      </c>
      <c r="D65" s="1776" t="s">
        <v>2526</v>
      </c>
      <c r="E65" s="1776" t="s">
        <v>2527</v>
      </c>
      <c r="F65" s="1776" t="s">
        <v>2430</v>
      </c>
      <c r="G65" s="1776" t="s">
        <v>2528</v>
      </c>
      <c r="H65" s="1776" t="s">
        <v>22</v>
      </c>
      <c r="I65" s="1776" t="s">
        <v>810</v>
      </c>
    </row>
    <row r="66" spans="1:9" ht="11.25" customHeight="1">
      <c r="A66" s="1776" t="s">
        <v>2248</v>
      </c>
      <c r="B66" s="1776" t="s">
        <v>16</v>
      </c>
      <c r="C66" s="1776" t="s">
        <v>2529</v>
      </c>
      <c r="D66" s="1776" t="s">
        <v>2530</v>
      </c>
      <c r="E66" s="1776" t="s">
        <v>2531</v>
      </c>
      <c r="F66" s="1776" t="s">
        <v>2478</v>
      </c>
      <c r="G66" s="1776" t="s">
        <v>2532</v>
      </c>
      <c r="H66" s="1776" t="s">
        <v>22</v>
      </c>
      <c r="I66" s="1776" t="s">
        <v>810</v>
      </c>
    </row>
    <row r="67" spans="1:9" ht="11.25" customHeight="1">
      <c r="A67" s="1776" t="s">
        <v>2248</v>
      </c>
      <c r="B67" s="1776" t="s">
        <v>16</v>
      </c>
      <c r="C67" s="1776" t="s">
        <v>2533</v>
      </c>
      <c r="D67" s="1776" t="s">
        <v>2534</v>
      </c>
      <c r="E67" s="1776" t="s">
        <v>2535</v>
      </c>
      <c r="F67" s="1776" t="s">
        <v>2430</v>
      </c>
      <c r="G67" s="1776" t="s">
        <v>2536</v>
      </c>
      <c r="H67" s="1776" t="s">
        <v>22</v>
      </c>
      <c r="I67" s="1776" t="s">
        <v>810</v>
      </c>
    </row>
    <row r="68" spans="1:9" ht="11.25" customHeight="1">
      <c r="A68" s="1776" t="s">
        <v>2248</v>
      </c>
      <c r="B68" s="1776" t="s">
        <v>16</v>
      </c>
      <c r="C68" s="1776" t="s">
        <v>2537</v>
      </c>
      <c r="D68" s="1776" t="s">
        <v>2538</v>
      </c>
      <c r="E68" s="1776" t="s">
        <v>2539</v>
      </c>
      <c r="F68" s="1776" t="s">
        <v>2506</v>
      </c>
      <c r="G68" s="1776" t="s">
        <v>2540</v>
      </c>
      <c r="H68" s="1776" t="s">
        <v>22</v>
      </c>
      <c r="I68" s="1776" t="s">
        <v>810</v>
      </c>
    </row>
    <row r="69" spans="1:9" ht="11.25" customHeight="1">
      <c r="A69" s="1776" t="s">
        <v>2248</v>
      </c>
      <c r="B69" s="1776" t="s">
        <v>16</v>
      </c>
      <c r="C69" s="1776" t="s">
        <v>2541</v>
      </c>
      <c r="D69" s="1776" t="s">
        <v>2542</v>
      </c>
      <c r="E69" s="1776" t="s">
        <v>2543</v>
      </c>
      <c r="F69" s="1776" t="s">
        <v>2364</v>
      </c>
      <c r="G69" s="1776" t="s">
        <v>22</v>
      </c>
      <c r="H69" s="1776" t="s">
        <v>22</v>
      </c>
      <c r="I69" s="1776" t="s">
        <v>810</v>
      </c>
    </row>
    <row r="70" spans="1:9" ht="11.25" customHeight="1">
      <c r="A70" s="1776" t="s">
        <v>2248</v>
      </c>
      <c r="B70" s="1776" t="s">
        <v>16</v>
      </c>
      <c r="C70" s="1776" t="s">
        <v>2544</v>
      </c>
      <c r="D70" s="1776" t="s">
        <v>2545</v>
      </c>
      <c r="E70" s="1776" t="s">
        <v>2546</v>
      </c>
      <c r="F70" s="1776" t="s">
        <v>2547</v>
      </c>
      <c r="G70" s="1776" t="s">
        <v>2548</v>
      </c>
      <c r="H70" s="1776" t="s">
        <v>2549</v>
      </c>
      <c r="I70" s="1776" t="s">
        <v>810</v>
      </c>
    </row>
    <row r="71" spans="1:9" ht="11.25" customHeight="1">
      <c r="A71" s="1776" t="s">
        <v>2248</v>
      </c>
      <c r="B71" s="1776" t="s">
        <v>16</v>
      </c>
      <c r="C71" s="1776" t="s">
        <v>2550</v>
      </c>
      <c r="D71" s="1776" t="s">
        <v>2551</v>
      </c>
      <c r="E71" s="1776" t="s">
        <v>2552</v>
      </c>
      <c r="F71" s="1776" t="s">
        <v>2553</v>
      </c>
      <c r="G71" s="1776" t="s">
        <v>2554</v>
      </c>
      <c r="H71" s="1776" t="s">
        <v>22</v>
      </c>
      <c r="I71" s="1776" t="s">
        <v>810</v>
      </c>
    </row>
    <row r="72" spans="1:9" ht="11.25" customHeight="1">
      <c r="A72" s="1776" t="s">
        <v>2248</v>
      </c>
      <c r="B72" s="1776" t="s">
        <v>16</v>
      </c>
      <c r="C72" s="1776" t="s">
        <v>2555</v>
      </c>
      <c r="D72" s="1776" t="s">
        <v>2556</v>
      </c>
      <c r="E72" s="1776" t="s">
        <v>2557</v>
      </c>
      <c r="F72" s="1776" t="s">
        <v>2558</v>
      </c>
      <c r="G72" s="1776" t="s">
        <v>2559</v>
      </c>
      <c r="H72" s="1776" t="s">
        <v>2560</v>
      </c>
      <c r="I72" s="1776" t="s">
        <v>810</v>
      </c>
    </row>
    <row r="73" spans="1:9" ht="11.25" customHeight="1">
      <c r="A73" s="1776" t="s">
        <v>2248</v>
      </c>
      <c r="B73" s="1776" t="s">
        <v>16</v>
      </c>
      <c r="C73" s="1776" t="s">
        <v>2561</v>
      </c>
      <c r="D73" s="1776" t="s">
        <v>2562</v>
      </c>
      <c r="E73" s="1776" t="s">
        <v>2563</v>
      </c>
      <c r="F73" s="1776" t="s">
        <v>2553</v>
      </c>
      <c r="G73" s="1776" t="s">
        <v>2564</v>
      </c>
      <c r="H73" s="1776" t="s">
        <v>22</v>
      </c>
      <c r="I73" s="1776" t="s">
        <v>810</v>
      </c>
    </row>
    <row r="74" spans="1:9" ht="11.25" customHeight="1">
      <c r="A74" s="1776" t="s">
        <v>2248</v>
      </c>
      <c r="B74" s="1776" t="s">
        <v>16</v>
      </c>
      <c r="C74" s="1776" t="s">
        <v>2565</v>
      </c>
      <c r="D74" s="1776" t="s">
        <v>2566</v>
      </c>
      <c r="E74" s="1776" t="s">
        <v>2567</v>
      </c>
      <c r="F74" s="1776" t="s">
        <v>2568</v>
      </c>
      <c r="G74" s="1776" t="s">
        <v>2569</v>
      </c>
      <c r="H74" s="1776" t="s">
        <v>22</v>
      </c>
      <c r="I74" s="1776" t="s">
        <v>810</v>
      </c>
    </row>
    <row r="75" spans="1:9" ht="11.25" customHeight="1">
      <c r="A75" s="1776" t="s">
        <v>2248</v>
      </c>
      <c r="B75" s="1776" t="s">
        <v>16</v>
      </c>
      <c r="C75" s="1776" t="s">
        <v>2570</v>
      </c>
      <c r="D75" s="1776" t="s">
        <v>2571</v>
      </c>
      <c r="E75" s="1776" t="s">
        <v>2572</v>
      </c>
      <c r="F75" s="1776" t="s">
        <v>2553</v>
      </c>
      <c r="G75" s="1776" t="s">
        <v>2573</v>
      </c>
      <c r="H75" s="1776" t="s">
        <v>22</v>
      </c>
      <c r="I75" s="1776" t="s">
        <v>810</v>
      </c>
    </row>
    <row r="76" spans="1:9" ht="11.25" customHeight="1">
      <c r="A76" s="1776" t="s">
        <v>2248</v>
      </c>
      <c r="B76" s="1776" t="s">
        <v>16</v>
      </c>
      <c r="C76" s="1776" t="s">
        <v>2574</v>
      </c>
      <c r="D76" s="1776" t="s">
        <v>2575</v>
      </c>
      <c r="E76" s="1776" t="s">
        <v>2576</v>
      </c>
      <c r="F76" s="1776" t="s">
        <v>2577</v>
      </c>
      <c r="G76" s="1776" t="s">
        <v>2578</v>
      </c>
      <c r="H76" s="1776" t="s">
        <v>22</v>
      </c>
      <c r="I76" s="1776" t="s">
        <v>810</v>
      </c>
    </row>
    <row r="77" spans="1:9" ht="11.25" customHeight="1">
      <c r="A77" s="1776" t="s">
        <v>2248</v>
      </c>
      <c r="B77" s="1776" t="s">
        <v>16</v>
      </c>
      <c r="C77" s="1776" t="s">
        <v>2579</v>
      </c>
      <c r="D77" s="1776" t="s">
        <v>2575</v>
      </c>
      <c r="E77" s="1776" t="s">
        <v>2580</v>
      </c>
      <c r="F77" s="1776" t="s">
        <v>2568</v>
      </c>
      <c r="G77" s="1776" t="s">
        <v>22</v>
      </c>
      <c r="H77" s="1776" t="s">
        <v>22</v>
      </c>
      <c r="I77" s="1776" t="s">
        <v>810</v>
      </c>
    </row>
    <row r="78" spans="1:9" ht="11.25" customHeight="1">
      <c r="A78" s="1776" t="s">
        <v>2248</v>
      </c>
      <c r="B78" s="1776" t="s">
        <v>16</v>
      </c>
      <c r="C78" s="1776" t="s">
        <v>2581</v>
      </c>
      <c r="D78" s="1776" t="s">
        <v>2582</v>
      </c>
      <c r="E78" s="1776" t="s">
        <v>2583</v>
      </c>
      <c r="F78" s="1776" t="s">
        <v>2584</v>
      </c>
      <c r="G78" s="1776" t="s">
        <v>2585</v>
      </c>
      <c r="H78" s="1776" t="s">
        <v>22</v>
      </c>
      <c r="I78" s="1776" t="s">
        <v>810</v>
      </c>
    </row>
    <row r="79" spans="1:9" ht="11.25" customHeight="1">
      <c r="A79" s="1776" t="s">
        <v>2248</v>
      </c>
      <c r="B79" s="1776" t="s">
        <v>16</v>
      </c>
      <c r="C79" s="1776" t="s">
        <v>2586</v>
      </c>
      <c r="D79" s="1776" t="s">
        <v>2587</v>
      </c>
      <c r="E79" s="1776" t="s">
        <v>2588</v>
      </c>
      <c r="F79" s="1776" t="s">
        <v>2335</v>
      </c>
      <c r="G79" s="1776" t="s">
        <v>2589</v>
      </c>
      <c r="H79" s="1776" t="s">
        <v>22</v>
      </c>
      <c r="I79" s="1776" t="s">
        <v>810</v>
      </c>
    </row>
    <row r="80" spans="1:9" ht="11.25" customHeight="1">
      <c r="A80" s="1776" t="s">
        <v>2248</v>
      </c>
      <c r="B80" s="1776" t="s">
        <v>16</v>
      </c>
      <c r="C80" s="1776" t="s">
        <v>2590</v>
      </c>
      <c r="D80" s="1776" t="s">
        <v>2591</v>
      </c>
      <c r="E80" s="1776" t="s">
        <v>2592</v>
      </c>
      <c r="F80" s="1776" t="s">
        <v>2335</v>
      </c>
      <c r="G80" s="1776" t="s">
        <v>2585</v>
      </c>
      <c r="H80" s="1776" t="s">
        <v>22</v>
      </c>
      <c r="I80" s="1776" t="s">
        <v>810</v>
      </c>
    </row>
    <row r="81" spans="1:9" ht="11.25" customHeight="1">
      <c r="A81" s="1776" t="s">
        <v>2248</v>
      </c>
      <c r="B81" s="1776" t="s">
        <v>16</v>
      </c>
      <c r="C81" s="1776" t="s">
        <v>2593</v>
      </c>
      <c r="D81" s="1776" t="s">
        <v>2594</v>
      </c>
      <c r="E81" s="1776" t="s">
        <v>2595</v>
      </c>
      <c r="F81" s="1776" t="s">
        <v>2596</v>
      </c>
      <c r="G81" s="1776" t="s">
        <v>2597</v>
      </c>
      <c r="H81" s="1776" t="s">
        <v>22</v>
      </c>
      <c r="I81" s="1776" t="s">
        <v>810</v>
      </c>
    </row>
    <row r="82" spans="1:9" ht="11.25" customHeight="1">
      <c r="A82" s="1776" t="s">
        <v>2248</v>
      </c>
      <c r="B82" s="1776" t="s">
        <v>16</v>
      </c>
      <c r="C82" s="1776" t="s">
        <v>2598</v>
      </c>
      <c r="D82" s="1776" t="s">
        <v>2599</v>
      </c>
      <c r="E82" s="1776" t="s">
        <v>2600</v>
      </c>
      <c r="F82" s="1776" t="s">
        <v>2335</v>
      </c>
      <c r="G82" s="1776" t="s">
        <v>2601</v>
      </c>
      <c r="H82" s="1776" t="s">
        <v>22</v>
      </c>
      <c r="I82" s="1776" t="s">
        <v>810</v>
      </c>
    </row>
    <row r="83" spans="1:9" ht="11.25" customHeight="1">
      <c r="A83" s="1776" t="s">
        <v>2248</v>
      </c>
      <c r="B83" s="1776" t="s">
        <v>16</v>
      </c>
      <c r="C83" s="1776" t="s">
        <v>2602</v>
      </c>
      <c r="D83" s="1776" t="s">
        <v>2603</v>
      </c>
      <c r="E83" s="1776" t="s">
        <v>2604</v>
      </c>
      <c r="F83" s="1776" t="s">
        <v>2457</v>
      </c>
      <c r="G83" s="1776" t="s">
        <v>2605</v>
      </c>
      <c r="H83" s="1776" t="s">
        <v>22</v>
      </c>
      <c r="I83" s="1776" t="s">
        <v>810</v>
      </c>
    </row>
    <row r="84" spans="1:9" ht="11.25" customHeight="1">
      <c r="A84" s="1776" t="s">
        <v>2248</v>
      </c>
      <c r="B84" s="1776" t="s">
        <v>16</v>
      </c>
      <c r="C84" s="1776" t="s">
        <v>2606</v>
      </c>
      <c r="D84" s="1776" t="s">
        <v>2607</v>
      </c>
      <c r="E84" s="1776" t="s">
        <v>2608</v>
      </c>
      <c r="F84" s="1776" t="s">
        <v>2609</v>
      </c>
      <c r="G84" s="1776" t="s">
        <v>2610</v>
      </c>
      <c r="H84" s="1776" t="s">
        <v>22</v>
      </c>
      <c r="I84" s="1776" t="s">
        <v>810</v>
      </c>
    </row>
    <row r="85" spans="1:9" ht="11.25" customHeight="1">
      <c r="A85" s="1776" t="s">
        <v>2248</v>
      </c>
      <c r="B85" s="1776" t="s">
        <v>16</v>
      </c>
      <c r="C85" s="1776" t="s">
        <v>2611</v>
      </c>
      <c r="D85" s="1776" t="s">
        <v>2612</v>
      </c>
      <c r="E85" s="1776" t="s">
        <v>2613</v>
      </c>
      <c r="F85" s="1776" t="s">
        <v>2614</v>
      </c>
      <c r="G85" s="1776" t="s">
        <v>2615</v>
      </c>
      <c r="H85" s="1776" t="s">
        <v>2375</v>
      </c>
      <c r="I85" s="1776" t="s">
        <v>810</v>
      </c>
    </row>
    <row r="86" spans="1:9" ht="11.25" customHeight="1">
      <c r="A86" s="1776" t="s">
        <v>2248</v>
      </c>
      <c r="B86" s="1776" t="s">
        <v>16</v>
      </c>
      <c r="C86" s="1776" t="s">
        <v>2616</v>
      </c>
      <c r="D86" s="1776" t="s">
        <v>2617</v>
      </c>
      <c r="E86" s="1776" t="s">
        <v>2618</v>
      </c>
      <c r="F86" s="1776" t="s">
        <v>2619</v>
      </c>
      <c r="G86" s="1776" t="s">
        <v>2620</v>
      </c>
      <c r="H86" s="1776" t="s">
        <v>22</v>
      </c>
      <c r="I86" s="1776" t="s">
        <v>810</v>
      </c>
    </row>
    <row r="87" spans="1:9" ht="11.25" customHeight="1">
      <c r="A87" s="1776" t="s">
        <v>2248</v>
      </c>
      <c r="B87" s="1776" t="s">
        <v>16</v>
      </c>
      <c r="C87" s="1776" t="s">
        <v>2621</v>
      </c>
      <c r="D87" s="1776" t="s">
        <v>2622</v>
      </c>
      <c r="E87" s="1776" t="s">
        <v>2623</v>
      </c>
      <c r="F87" s="1776" t="s">
        <v>2256</v>
      </c>
      <c r="G87" s="1776" t="s">
        <v>2624</v>
      </c>
      <c r="H87" s="1776" t="s">
        <v>22</v>
      </c>
      <c r="I87" s="1776" t="s">
        <v>810</v>
      </c>
    </row>
    <row r="88" spans="1:9" ht="11.25" customHeight="1">
      <c r="A88" s="1776" t="s">
        <v>2248</v>
      </c>
      <c r="B88" s="1776" t="s">
        <v>16</v>
      </c>
      <c r="C88" s="1776" t="s">
        <v>2625</v>
      </c>
      <c r="D88" s="1776" t="s">
        <v>2626</v>
      </c>
      <c r="E88" s="1776" t="s">
        <v>2627</v>
      </c>
      <c r="F88" s="1776" t="s">
        <v>2281</v>
      </c>
      <c r="G88" s="1776" t="s">
        <v>2628</v>
      </c>
      <c r="H88" s="1776" t="s">
        <v>22</v>
      </c>
      <c r="I88" s="1776" t="s">
        <v>810</v>
      </c>
    </row>
    <row r="89" spans="1:9" ht="11.25" customHeight="1">
      <c r="A89" s="1776" t="s">
        <v>2248</v>
      </c>
      <c r="B89" s="1776" t="s">
        <v>16</v>
      </c>
      <c r="C89" s="1776" t="s">
        <v>2629</v>
      </c>
      <c r="D89" s="1776" t="s">
        <v>2630</v>
      </c>
      <c r="E89" s="1776" t="s">
        <v>2631</v>
      </c>
      <c r="F89" s="1776" t="s">
        <v>2252</v>
      </c>
      <c r="G89" s="1776" t="s">
        <v>22</v>
      </c>
      <c r="H89" s="1776" t="s">
        <v>22</v>
      </c>
      <c r="I89" s="1776" t="s">
        <v>810</v>
      </c>
    </row>
    <row r="90" spans="1:9" ht="11.25" customHeight="1">
      <c r="A90" s="1776" t="s">
        <v>2248</v>
      </c>
      <c r="B90" s="1776" t="s">
        <v>16</v>
      </c>
      <c r="C90" s="1776" t="s">
        <v>2632</v>
      </c>
      <c r="D90" s="1776" t="s">
        <v>2633</v>
      </c>
      <c r="E90" s="1776" t="s">
        <v>2634</v>
      </c>
      <c r="F90" s="1776" t="s">
        <v>2256</v>
      </c>
      <c r="G90" s="1776" t="s">
        <v>2635</v>
      </c>
      <c r="H90" s="1776" t="s">
        <v>22</v>
      </c>
      <c r="I90" s="1776" t="s">
        <v>810</v>
      </c>
    </row>
    <row r="91" spans="1:9" ht="11.25" customHeight="1">
      <c r="A91" s="1776" t="s">
        <v>2248</v>
      </c>
      <c r="B91" s="1776" t="s">
        <v>16</v>
      </c>
      <c r="C91" s="1776" t="s">
        <v>2636</v>
      </c>
      <c r="D91" s="1776" t="s">
        <v>2637</v>
      </c>
      <c r="E91" s="1776" t="s">
        <v>2638</v>
      </c>
      <c r="F91" s="1776" t="s">
        <v>2335</v>
      </c>
      <c r="G91" s="1776" t="s">
        <v>2639</v>
      </c>
      <c r="H91" s="1776" t="s">
        <v>22</v>
      </c>
      <c r="I91" s="1776" t="s">
        <v>810</v>
      </c>
    </row>
    <row r="92" spans="1:9" ht="11.25" customHeight="1">
      <c r="A92" s="1776" t="s">
        <v>2248</v>
      </c>
      <c r="B92" s="1776" t="s">
        <v>16</v>
      </c>
      <c r="C92" s="1776" t="s">
        <v>2640</v>
      </c>
      <c r="D92" s="1776" t="s">
        <v>2641</v>
      </c>
      <c r="E92" s="1776" t="s">
        <v>2642</v>
      </c>
      <c r="F92" s="1776" t="s">
        <v>2643</v>
      </c>
      <c r="G92" s="1776" t="s">
        <v>2644</v>
      </c>
      <c r="H92" s="1776" t="s">
        <v>22</v>
      </c>
      <c r="I92" s="1776" t="s">
        <v>810</v>
      </c>
    </row>
    <row r="93" spans="1:9" ht="11.25" customHeight="1">
      <c r="A93" s="1776" t="s">
        <v>2248</v>
      </c>
      <c r="B93" s="1776" t="s">
        <v>16</v>
      </c>
      <c r="C93" s="1776" t="s">
        <v>2645</v>
      </c>
      <c r="D93" s="1776" t="s">
        <v>2646</v>
      </c>
      <c r="E93" s="1776" t="s">
        <v>2647</v>
      </c>
      <c r="F93" s="1776" t="s">
        <v>2648</v>
      </c>
      <c r="G93" s="1776" t="s">
        <v>2649</v>
      </c>
      <c r="H93" s="1776" t="s">
        <v>22</v>
      </c>
      <c r="I93" s="1776" t="s">
        <v>810</v>
      </c>
    </row>
    <row r="94" spans="1:9" ht="11.25" customHeight="1">
      <c r="A94" s="1776" t="s">
        <v>2248</v>
      </c>
      <c r="B94" s="1776" t="s">
        <v>16</v>
      </c>
      <c r="C94" s="1776" t="s">
        <v>2650</v>
      </c>
      <c r="D94" s="1776" t="s">
        <v>2651</v>
      </c>
      <c r="E94" s="1776" t="s">
        <v>2652</v>
      </c>
      <c r="F94" s="1776" t="s">
        <v>2653</v>
      </c>
      <c r="G94" s="1776" t="s">
        <v>22</v>
      </c>
      <c r="H94" s="1776" t="s">
        <v>22</v>
      </c>
      <c r="I94" s="1776" t="s">
        <v>810</v>
      </c>
    </row>
    <row r="95" spans="1:9" ht="11.25" customHeight="1">
      <c r="A95" s="1776" t="s">
        <v>2248</v>
      </c>
      <c r="B95" s="1776" t="s">
        <v>16</v>
      </c>
      <c r="C95" s="1776" t="s">
        <v>2654</v>
      </c>
      <c r="D95" s="1776" t="s">
        <v>2655</v>
      </c>
      <c r="E95" s="1776" t="s">
        <v>2656</v>
      </c>
      <c r="F95" s="1776" t="s">
        <v>2657</v>
      </c>
      <c r="G95" s="1776" t="s">
        <v>2658</v>
      </c>
      <c r="H95" s="1776" t="s">
        <v>22</v>
      </c>
      <c r="I95" s="1776" t="s">
        <v>810</v>
      </c>
    </row>
    <row r="96" spans="1:9" ht="11.25" customHeight="1">
      <c r="A96" s="1776" t="s">
        <v>2248</v>
      </c>
      <c r="B96" s="1776" t="s">
        <v>16</v>
      </c>
      <c r="C96" s="1776" t="s">
        <v>2659</v>
      </c>
      <c r="D96" s="1776" t="s">
        <v>2660</v>
      </c>
      <c r="E96" s="1776" t="s">
        <v>2661</v>
      </c>
      <c r="F96" s="1776" t="s">
        <v>2662</v>
      </c>
      <c r="G96" s="1776" t="s">
        <v>22</v>
      </c>
      <c r="H96" s="1776" t="s">
        <v>2663</v>
      </c>
      <c r="I96" s="1776" t="s">
        <v>810</v>
      </c>
    </row>
    <row r="97" spans="1:9" ht="11.25" customHeight="1">
      <c r="A97" s="1776" t="s">
        <v>2248</v>
      </c>
      <c r="B97" s="1776" t="s">
        <v>16</v>
      </c>
      <c r="C97" s="1776" t="s">
        <v>2664</v>
      </c>
      <c r="D97" s="1776" t="s">
        <v>2665</v>
      </c>
      <c r="E97" s="1776" t="s">
        <v>2666</v>
      </c>
      <c r="F97" s="1776" t="s">
        <v>2648</v>
      </c>
      <c r="G97" s="1776" t="s">
        <v>2667</v>
      </c>
      <c r="H97" s="1776" t="s">
        <v>22</v>
      </c>
      <c r="I97" s="1776" t="s">
        <v>810</v>
      </c>
    </row>
    <row r="98" spans="1:9" ht="11.25" customHeight="1">
      <c r="A98" s="1776" t="s">
        <v>2248</v>
      </c>
      <c r="B98" s="1776" t="s">
        <v>16</v>
      </c>
      <c r="C98" s="1776" t="s">
        <v>2668</v>
      </c>
      <c r="D98" s="1776" t="s">
        <v>2669</v>
      </c>
      <c r="E98" s="1776" t="s">
        <v>2670</v>
      </c>
      <c r="F98" s="1776" t="s">
        <v>2281</v>
      </c>
      <c r="G98" s="1776" t="s">
        <v>2671</v>
      </c>
      <c r="H98" s="1776" t="s">
        <v>22</v>
      </c>
      <c r="I98" s="1776" t="s">
        <v>810</v>
      </c>
    </row>
    <row r="99" spans="1:9" ht="11.25" customHeight="1">
      <c r="A99" s="1776" t="s">
        <v>2248</v>
      </c>
      <c r="B99" s="1776" t="s">
        <v>16</v>
      </c>
      <c r="C99" s="1776" t="s">
        <v>2672</v>
      </c>
      <c r="D99" s="1776" t="s">
        <v>2673</v>
      </c>
      <c r="E99" s="1776" t="s">
        <v>2674</v>
      </c>
      <c r="F99" s="1776" t="s">
        <v>2256</v>
      </c>
      <c r="G99" s="1776" t="s">
        <v>2675</v>
      </c>
      <c r="H99" s="1776" t="s">
        <v>22</v>
      </c>
      <c r="I99" s="1776" t="s">
        <v>810</v>
      </c>
    </row>
    <row r="100" spans="1:9" ht="11.25" customHeight="1">
      <c r="A100" s="1776" t="s">
        <v>2248</v>
      </c>
      <c r="B100" s="1776" t="s">
        <v>16</v>
      </c>
      <c r="C100" s="1776" t="s">
        <v>2676</v>
      </c>
      <c r="D100" s="1776" t="s">
        <v>2677</v>
      </c>
      <c r="E100" s="1776" t="s">
        <v>2678</v>
      </c>
      <c r="F100" s="1776" t="s">
        <v>2256</v>
      </c>
      <c r="G100" s="1776" t="s">
        <v>2679</v>
      </c>
      <c r="H100" s="1776" t="s">
        <v>2680</v>
      </c>
      <c r="I100" s="1776" t="s">
        <v>810</v>
      </c>
    </row>
    <row r="101" spans="1:9" ht="11.25" customHeight="1">
      <c r="A101" s="1776" t="s">
        <v>2248</v>
      </c>
      <c r="B101" s="1776" t="s">
        <v>16</v>
      </c>
      <c r="C101" s="1776" t="s">
        <v>2681</v>
      </c>
      <c r="D101" s="1776" t="s">
        <v>2682</v>
      </c>
      <c r="E101" s="1776" t="s">
        <v>2683</v>
      </c>
      <c r="F101" s="1776" t="s">
        <v>2619</v>
      </c>
      <c r="G101" s="1776" t="s">
        <v>2684</v>
      </c>
      <c r="H101" s="1776" t="s">
        <v>22</v>
      </c>
      <c r="I101" s="1776" t="s">
        <v>810</v>
      </c>
    </row>
    <row r="102" spans="1:9" ht="11.25" customHeight="1">
      <c r="A102" s="1776" t="s">
        <v>2248</v>
      </c>
      <c r="B102" s="1776" t="s">
        <v>16</v>
      </c>
      <c r="C102" s="1776" t="s">
        <v>2685</v>
      </c>
      <c r="D102" s="1776" t="s">
        <v>2686</v>
      </c>
      <c r="E102" s="1776" t="s">
        <v>2687</v>
      </c>
      <c r="F102" s="1776" t="s">
        <v>2619</v>
      </c>
      <c r="G102" s="1776" t="s">
        <v>2688</v>
      </c>
      <c r="H102" s="1776" t="s">
        <v>22</v>
      </c>
      <c r="I102" s="1776" t="s">
        <v>810</v>
      </c>
    </row>
    <row r="103" spans="1:9" ht="11.25" customHeight="1">
      <c r="A103" s="1776" t="s">
        <v>2248</v>
      </c>
      <c r="B103" s="1776" t="s">
        <v>16</v>
      </c>
      <c r="C103" s="1776" t="s">
        <v>2689</v>
      </c>
      <c r="D103" s="1776" t="s">
        <v>2690</v>
      </c>
      <c r="E103" s="1776" t="s">
        <v>2691</v>
      </c>
      <c r="F103" s="1776" t="s">
        <v>2577</v>
      </c>
      <c r="G103" s="1776" t="s">
        <v>2692</v>
      </c>
      <c r="H103" s="1776" t="s">
        <v>22</v>
      </c>
      <c r="I103" s="1776" t="s">
        <v>810</v>
      </c>
    </row>
    <row r="104" spans="1:9" ht="11.25" customHeight="1">
      <c r="A104" s="1776" t="s">
        <v>2248</v>
      </c>
      <c r="B104" s="1776" t="s">
        <v>16</v>
      </c>
      <c r="C104" s="1776" t="s">
        <v>2693</v>
      </c>
      <c r="D104" s="1776" t="s">
        <v>2694</v>
      </c>
      <c r="E104" s="1776" t="s">
        <v>2695</v>
      </c>
      <c r="F104" s="1776" t="s">
        <v>2696</v>
      </c>
      <c r="G104" s="1776" t="s">
        <v>2697</v>
      </c>
      <c r="H104" s="1776" t="s">
        <v>22</v>
      </c>
      <c r="I104" s="1776" t="s">
        <v>810</v>
      </c>
    </row>
    <row r="105" spans="1:9" ht="11.25" customHeight="1">
      <c r="A105" s="1776" t="s">
        <v>2248</v>
      </c>
      <c r="B105" s="1776" t="s">
        <v>16</v>
      </c>
      <c r="C105" s="1776" t="s">
        <v>2698</v>
      </c>
      <c r="D105" s="1776" t="s">
        <v>2699</v>
      </c>
      <c r="E105" s="1776" t="s">
        <v>2700</v>
      </c>
      <c r="F105" s="1776" t="s">
        <v>2281</v>
      </c>
      <c r="G105" s="1776" t="s">
        <v>22</v>
      </c>
      <c r="H105" s="1776" t="s">
        <v>22</v>
      </c>
      <c r="I105" s="1776" t="s">
        <v>810</v>
      </c>
    </row>
    <row r="106" spans="1:9" ht="11.25" customHeight="1">
      <c r="A106" s="1776" t="s">
        <v>2248</v>
      </c>
      <c r="B106" s="1776" t="s">
        <v>16</v>
      </c>
      <c r="C106" s="1776" t="s">
        <v>2701</v>
      </c>
      <c r="D106" s="1776" t="s">
        <v>2702</v>
      </c>
      <c r="E106" s="1776" t="s">
        <v>2703</v>
      </c>
      <c r="F106" s="1776" t="s">
        <v>2281</v>
      </c>
      <c r="G106" s="1776" t="s">
        <v>22</v>
      </c>
      <c r="H106" s="1776" t="s">
        <v>22</v>
      </c>
      <c r="I106" s="1776" t="s">
        <v>810</v>
      </c>
    </row>
    <row r="107" spans="1:9" ht="11.25" customHeight="1">
      <c r="A107" s="1776" t="s">
        <v>2248</v>
      </c>
      <c r="B107" s="1776" t="s">
        <v>16</v>
      </c>
      <c r="C107" s="1776" t="s">
        <v>2704</v>
      </c>
      <c r="D107" s="1776" t="s">
        <v>2705</v>
      </c>
      <c r="E107" s="1776" t="s">
        <v>2706</v>
      </c>
      <c r="F107" s="1776" t="s">
        <v>2653</v>
      </c>
      <c r="G107" s="1776" t="s">
        <v>2707</v>
      </c>
      <c r="H107" s="1776" t="s">
        <v>22</v>
      </c>
      <c r="I107" s="1776" t="s">
        <v>810</v>
      </c>
    </row>
    <row r="108" spans="1:9" ht="11.25" customHeight="1">
      <c r="A108" s="1776" t="s">
        <v>2248</v>
      </c>
      <c r="B108" s="1776" t="s">
        <v>16</v>
      </c>
      <c r="C108" s="1776" t="s">
        <v>2708</v>
      </c>
      <c r="D108" s="1776" t="s">
        <v>2709</v>
      </c>
      <c r="E108" s="1776" t="s">
        <v>2710</v>
      </c>
      <c r="F108" s="1776" t="s">
        <v>2653</v>
      </c>
      <c r="G108" s="1776" t="s">
        <v>2711</v>
      </c>
      <c r="H108" s="1776" t="s">
        <v>22</v>
      </c>
      <c r="I108" s="1776" t="s">
        <v>810</v>
      </c>
    </row>
    <row r="109" spans="1:9" ht="11.25" customHeight="1">
      <c r="A109" s="1776" t="s">
        <v>2248</v>
      </c>
      <c r="B109" s="1776" t="s">
        <v>16</v>
      </c>
      <c r="C109" s="1776" t="s">
        <v>2712</v>
      </c>
      <c r="D109" s="1776" t="s">
        <v>2713</v>
      </c>
      <c r="E109" s="1776" t="s">
        <v>2714</v>
      </c>
      <c r="F109" s="1776" t="s">
        <v>2312</v>
      </c>
      <c r="G109" s="1776" t="s">
        <v>2715</v>
      </c>
      <c r="H109" s="1776" t="s">
        <v>22</v>
      </c>
      <c r="I109" s="1776" t="s">
        <v>810</v>
      </c>
    </row>
    <row r="110" spans="1:9" ht="11.25" customHeight="1">
      <c r="A110" s="1776" t="s">
        <v>2248</v>
      </c>
      <c r="B110" s="1776" t="s">
        <v>16</v>
      </c>
      <c r="C110" s="1776" t="s">
        <v>2716</v>
      </c>
      <c r="D110" s="1776" t="s">
        <v>2717</v>
      </c>
      <c r="E110" s="1776" t="s">
        <v>2718</v>
      </c>
      <c r="F110" s="1776" t="s">
        <v>2345</v>
      </c>
      <c r="G110" s="1776" t="s">
        <v>2719</v>
      </c>
      <c r="H110" s="1776" t="s">
        <v>22</v>
      </c>
      <c r="I110" s="1776" t="s">
        <v>810</v>
      </c>
    </row>
    <row r="111" spans="1:9" ht="11.25" customHeight="1">
      <c r="A111" s="1776" t="s">
        <v>2248</v>
      </c>
      <c r="B111" s="1776" t="s">
        <v>16</v>
      </c>
      <c r="C111" s="1776" t="s">
        <v>2720</v>
      </c>
      <c r="D111" s="1776" t="s">
        <v>2721</v>
      </c>
      <c r="E111" s="1776" t="s">
        <v>2722</v>
      </c>
      <c r="F111" s="1776" t="s">
        <v>2369</v>
      </c>
      <c r="G111" s="1776" t="s">
        <v>2723</v>
      </c>
      <c r="H111" s="1776" t="s">
        <v>22</v>
      </c>
      <c r="I111" s="1776" t="s">
        <v>810</v>
      </c>
    </row>
    <row r="112" spans="1:9" ht="11.25" customHeight="1">
      <c r="A112" s="1776" t="s">
        <v>2248</v>
      </c>
      <c r="B112" s="1776" t="s">
        <v>16</v>
      </c>
      <c r="C112" s="1776" t="s">
        <v>2724</v>
      </c>
      <c r="D112" s="1776" t="s">
        <v>2725</v>
      </c>
      <c r="E112" s="1776" t="s">
        <v>2726</v>
      </c>
      <c r="F112" s="1776" t="s">
        <v>2345</v>
      </c>
      <c r="G112" s="1776" t="s">
        <v>2727</v>
      </c>
      <c r="H112" s="1776" t="s">
        <v>22</v>
      </c>
      <c r="I112" s="1776" t="s">
        <v>810</v>
      </c>
    </row>
    <row r="113" spans="1:9" ht="11.25" customHeight="1">
      <c r="A113" s="1776" t="s">
        <v>2248</v>
      </c>
      <c r="B113" s="1776" t="s">
        <v>16</v>
      </c>
      <c r="C113" s="1776" t="s">
        <v>2728</v>
      </c>
      <c r="D113" s="1776" t="s">
        <v>2729</v>
      </c>
      <c r="E113" s="1776" t="s">
        <v>2730</v>
      </c>
      <c r="F113" s="1776" t="s">
        <v>2731</v>
      </c>
      <c r="G113" s="1776" t="s">
        <v>22</v>
      </c>
      <c r="H113" s="1776" t="s">
        <v>22</v>
      </c>
      <c r="I113" s="1776" t="s">
        <v>810</v>
      </c>
    </row>
    <row r="114" spans="1:9" ht="11.25" customHeight="1">
      <c r="A114" s="1776" t="s">
        <v>2248</v>
      </c>
      <c r="B114" s="1776" t="s">
        <v>16</v>
      </c>
      <c r="C114" s="1776" t="s">
        <v>2732</v>
      </c>
      <c r="D114" s="1776" t="s">
        <v>2733</v>
      </c>
      <c r="E114" s="1776" t="s">
        <v>2734</v>
      </c>
      <c r="F114" s="1776" t="s">
        <v>2735</v>
      </c>
      <c r="G114" s="1776" t="s">
        <v>2736</v>
      </c>
      <c r="H114" s="1776" t="s">
        <v>22</v>
      </c>
      <c r="I114" s="1776" t="s">
        <v>810</v>
      </c>
    </row>
    <row r="115" spans="1:9" ht="11.25" customHeight="1">
      <c r="A115" s="1776" t="s">
        <v>2248</v>
      </c>
      <c r="B115" s="1776" t="s">
        <v>16</v>
      </c>
      <c r="C115" s="1776" t="s">
        <v>2737</v>
      </c>
      <c r="D115" s="1776" t="s">
        <v>2738</v>
      </c>
      <c r="E115" s="1776" t="s">
        <v>2739</v>
      </c>
      <c r="F115" s="1776" t="s">
        <v>2648</v>
      </c>
      <c r="G115" s="1776" t="s">
        <v>22</v>
      </c>
      <c r="H115" s="1776" t="s">
        <v>22</v>
      </c>
      <c r="I115" s="1776" t="s">
        <v>810</v>
      </c>
    </row>
    <row r="116" spans="1:9" ht="11.25" customHeight="1">
      <c r="A116" s="1776" t="s">
        <v>2248</v>
      </c>
      <c r="B116" s="1776" t="s">
        <v>16</v>
      </c>
      <c r="C116" s="1776" t="s">
        <v>2740</v>
      </c>
      <c r="D116" s="1776" t="s">
        <v>2741</v>
      </c>
      <c r="E116" s="1776" t="s">
        <v>2742</v>
      </c>
      <c r="F116" s="1776" t="s">
        <v>2743</v>
      </c>
      <c r="G116" s="1776" t="s">
        <v>22</v>
      </c>
      <c r="H116" s="1776" t="s">
        <v>22</v>
      </c>
      <c r="I116" s="1776" t="s">
        <v>810</v>
      </c>
    </row>
    <row r="117" spans="1:9" ht="11.25" customHeight="1">
      <c r="A117" s="1776" t="s">
        <v>2248</v>
      </c>
      <c r="B117" s="1776" t="s">
        <v>16</v>
      </c>
      <c r="C117" s="1776" t="s">
        <v>2744</v>
      </c>
      <c r="D117" s="1776" t="s">
        <v>2745</v>
      </c>
      <c r="E117" s="1776" t="s">
        <v>2746</v>
      </c>
      <c r="F117" s="1776" t="s">
        <v>2439</v>
      </c>
      <c r="G117" s="1776" t="s">
        <v>2747</v>
      </c>
      <c r="H117" s="1776" t="s">
        <v>22</v>
      </c>
      <c r="I117" s="1776" t="s">
        <v>810</v>
      </c>
    </row>
    <row r="118" spans="1:9" ht="11.25" customHeight="1">
      <c r="A118" s="1776" t="s">
        <v>2248</v>
      </c>
      <c r="B118" s="1776" t="s">
        <v>16</v>
      </c>
      <c r="C118" s="1776" t="s">
        <v>2748</v>
      </c>
      <c r="D118" s="1776" t="s">
        <v>2749</v>
      </c>
      <c r="E118" s="1776" t="s">
        <v>2750</v>
      </c>
      <c r="F118" s="1776" t="s">
        <v>2374</v>
      </c>
      <c r="G118" s="1776" t="s">
        <v>2751</v>
      </c>
      <c r="H118" s="1776" t="s">
        <v>22</v>
      </c>
      <c r="I118" s="1776" t="s">
        <v>810</v>
      </c>
    </row>
    <row r="119" spans="1:9" ht="11.25" customHeight="1">
      <c r="A119" s="1776" t="s">
        <v>2248</v>
      </c>
      <c r="B119" s="1776" t="s">
        <v>16</v>
      </c>
      <c r="C119" s="1776" t="s">
        <v>2752</v>
      </c>
      <c r="D119" s="1776" t="s">
        <v>2753</v>
      </c>
      <c r="E119" s="1776" t="s">
        <v>2754</v>
      </c>
      <c r="F119" s="1776" t="s">
        <v>2374</v>
      </c>
      <c r="G119" s="1776" t="s">
        <v>2755</v>
      </c>
      <c r="H119" s="1776" t="s">
        <v>22</v>
      </c>
      <c r="I119" s="1776" t="s">
        <v>810</v>
      </c>
    </row>
    <row r="120" spans="1:9" ht="11.25" customHeight="1">
      <c r="A120" s="1776" t="s">
        <v>2248</v>
      </c>
      <c r="B120" s="1776" t="s">
        <v>16</v>
      </c>
      <c r="C120" s="1776" t="s">
        <v>2756</v>
      </c>
      <c r="D120" s="1776" t="s">
        <v>2757</v>
      </c>
      <c r="E120" s="1776" t="s">
        <v>2758</v>
      </c>
      <c r="F120" s="1776" t="s">
        <v>2696</v>
      </c>
      <c r="G120" s="1776" t="s">
        <v>2759</v>
      </c>
      <c r="H120" s="1776" t="s">
        <v>22</v>
      </c>
      <c r="I120" s="1776" t="s">
        <v>810</v>
      </c>
    </row>
    <row r="121" spans="1:9" ht="11.25" customHeight="1">
      <c r="A121" s="1776" t="s">
        <v>2248</v>
      </c>
      <c r="B121" s="1776" t="s">
        <v>16</v>
      </c>
      <c r="C121" s="1776" t="s">
        <v>2760</v>
      </c>
      <c r="D121" s="1776" t="s">
        <v>2761</v>
      </c>
      <c r="E121" s="1776" t="s">
        <v>2762</v>
      </c>
      <c r="F121" s="1776" t="s">
        <v>2281</v>
      </c>
      <c r="G121" s="1776" t="s">
        <v>2763</v>
      </c>
      <c r="H121" s="1776" t="s">
        <v>22</v>
      </c>
      <c r="I121" s="1776" t="s">
        <v>810</v>
      </c>
    </row>
    <row r="122" spans="1:9" ht="11.25" customHeight="1">
      <c r="A122" s="1776" t="s">
        <v>2248</v>
      </c>
      <c r="B122" s="1776" t="s">
        <v>16</v>
      </c>
      <c r="C122" s="1776" t="s">
        <v>2764</v>
      </c>
      <c r="D122" s="1776" t="s">
        <v>2765</v>
      </c>
      <c r="E122" s="1776" t="s">
        <v>2766</v>
      </c>
      <c r="F122" s="1776" t="s">
        <v>2252</v>
      </c>
      <c r="G122" s="1776" t="s">
        <v>22</v>
      </c>
      <c r="H122" s="1776" t="s">
        <v>22</v>
      </c>
      <c r="I122" s="1776" t="s">
        <v>810</v>
      </c>
    </row>
    <row r="123" spans="1:9" ht="11.25" customHeight="1">
      <c r="A123" s="1776" t="s">
        <v>2248</v>
      </c>
      <c r="B123" s="1776" t="s">
        <v>16</v>
      </c>
      <c r="C123" s="1776" t="s">
        <v>2767</v>
      </c>
      <c r="D123" s="1776" t="s">
        <v>2768</v>
      </c>
      <c r="E123" s="1776" t="s">
        <v>2769</v>
      </c>
      <c r="F123" s="1776" t="s">
        <v>2281</v>
      </c>
      <c r="G123" s="1776" t="s">
        <v>2770</v>
      </c>
      <c r="H123" s="1776" t="s">
        <v>22</v>
      </c>
      <c r="I123" s="1776" t="s">
        <v>810</v>
      </c>
    </row>
    <row r="124" spans="1:9" ht="11.25" customHeight="1">
      <c r="A124" s="1776" t="s">
        <v>2248</v>
      </c>
      <c r="B124" s="1776" t="s">
        <v>16</v>
      </c>
      <c r="C124" s="1776" t="s">
        <v>2771</v>
      </c>
      <c r="D124" s="1776" t="s">
        <v>2772</v>
      </c>
      <c r="E124" s="1776" t="s">
        <v>2773</v>
      </c>
      <c r="F124" s="1776" t="s">
        <v>2345</v>
      </c>
      <c r="G124" s="1776" t="s">
        <v>2774</v>
      </c>
      <c r="H124" s="1776" t="s">
        <v>22</v>
      </c>
      <c r="I124" s="1776" t="s">
        <v>810</v>
      </c>
    </row>
    <row r="125" spans="1:9" ht="11.25" customHeight="1">
      <c r="A125" s="1776" t="s">
        <v>2248</v>
      </c>
      <c r="B125" s="1776" t="s">
        <v>16</v>
      </c>
      <c r="C125" s="1776" t="s">
        <v>2775</v>
      </c>
      <c r="D125" s="1776" t="s">
        <v>2776</v>
      </c>
      <c r="E125" s="1776" t="s">
        <v>2777</v>
      </c>
      <c r="F125" s="1776" t="s">
        <v>2778</v>
      </c>
      <c r="G125" s="1776" t="s">
        <v>2779</v>
      </c>
      <c r="H125" s="1776" t="s">
        <v>22</v>
      </c>
      <c r="I125" s="1776" t="s">
        <v>810</v>
      </c>
    </row>
    <row r="126" spans="1:9" ht="11.25" customHeight="1">
      <c r="A126" s="1776" t="s">
        <v>2248</v>
      </c>
      <c r="B126" s="1776" t="s">
        <v>16</v>
      </c>
      <c r="C126" s="1776" t="s">
        <v>2780</v>
      </c>
      <c r="D126" s="1776" t="s">
        <v>2781</v>
      </c>
      <c r="E126" s="1776" t="s">
        <v>2782</v>
      </c>
      <c r="F126" s="1776" t="s">
        <v>2619</v>
      </c>
      <c r="G126" s="1776" t="s">
        <v>22</v>
      </c>
      <c r="H126" s="1776" t="s">
        <v>22</v>
      </c>
      <c r="I126" s="1776" t="s">
        <v>810</v>
      </c>
    </row>
    <row r="127" spans="1:9" ht="11.25" customHeight="1">
      <c r="A127" s="1776" t="s">
        <v>2248</v>
      </c>
      <c r="B127" s="1776" t="s">
        <v>16</v>
      </c>
      <c r="C127" s="1776" t="s">
        <v>2783</v>
      </c>
      <c r="D127" s="1776" t="s">
        <v>2784</v>
      </c>
      <c r="E127" s="1776" t="s">
        <v>2785</v>
      </c>
      <c r="F127" s="1776" t="s">
        <v>2345</v>
      </c>
      <c r="G127" s="1776" t="s">
        <v>2786</v>
      </c>
      <c r="H127" s="1776" t="s">
        <v>22</v>
      </c>
      <c r="I127" s="1776" t="s">
        <v>810</v>
      </c>
    </row>
    <row r="128" spans="1:9" ht="11.25" customHeight="1">
      <c r="A128" s="1776" t="s">
        <v>2248</v>
      </c>
      <c r="B128" s="1776" t="s">
        <v>16</v>
      </c>
      <c r="C128" s="1776" t="s">
        <v>2787</v>
      </c>
      <c r="D128" s="1776" t="s">
        <v>2788</v>
      </c>
      <c r="E128" s="1776" t="s">
        <v>2789</v>
      </c>
      <c r="F128" s="1776" t="s">
        <v>2497</v>
      </c>
      <c r="G128" s="1776" t="s">
        <v>2511</v>
      </c>
      <c r="H128" s="1776" t="s">
        <v>22</v>
      </c>
      <c r="I128" s="1776" t="s">
        <v>810</v>
      </c>
    </row>
    <row r="129" spans="1:9" ht="11.25" customHeight="1">
      <c r="A129" s="1776" t="s">
        <v>2248</v>
      </c>
      <c r="B129" s="1776" t="s">
        <v>16</v>
      </c>
      <c r="C129" s="1776" t="s">
        <v>2790</v>
      </c>
      <c r="D129" s="1776" t="s">
        <v>2791</v>
      </c>
      <c r="E129" s="1776" t="s">
        <v>2792</v>
      </c>
      <c r="F129" s="1776" t="s">
        <v>2345</v>
      </c>
      <c r="G129" s="1776" t="s">
        <v>2793</v>
      </c>
      <c r="H129" s="1776" t="s">
        <v>22</v>
      </c>
      <c r="I129" s="1776" t="s">
        <v>810</v>
      </c>
    </row>
    <row r="130" spans="1:9" ht="11.25" customHeight="1">
      <c r="A130" s="1776" t="s">
        <v>2248</v>
      </c>
      <c r="B130" s="1776" t="s">
        <v>16</v>
      </c>
      <c r="C130" s="1776" t="s">
        <v>2794</v>
      </c>
      <c r="D130" s="1776" t="s">
        <v>2795</v>
      </c>
      <c r="E130" s="1776" t="s">
        <v>2796</v>
      </c>
      <c r="F130" s="1776" t="s">
        <v>2281</v>
      </c>
      <c r="G130" s="1776" t="s">
        <v>2797</v>
      </c>
      <c r="H130" s="1776" t="s">
        <v>22</v>
      </c>
      <c r="I130" s="1776" t="s">
        <v>810</v>
      </c>
    </row>
    <row r="131" spans="1:9" ht="11.25" customHeight="1">
      <c r="A131" s="1776" t="s">
        <v>2248</v>
      </c>
      <c r="B131" s="1776" t="s">
        <v>16</v>
      </c>
      <c r="C131" s="1776" t="s">
        <v>2798</v>
      </c>
      <c r="D131" s="1776" t="s">
        <v>2799</v>
      </c>
      <c r="E131" s="1776" t="s">
        <v>2800</v>
      </c>
      <c r="F131" s="1776" t="s">
        <v>2653</v>
      </c>
      <c r="G131" s="1776" t="s">
        <v>2801</v>
      </c>
      <c r="H131" s="1776" t="s">
        <v>22</v>
      </c>
      <c r="I131" s="1776" t="s">
        <v>810</v>
      </c>
    </row>
    <row r="132" spans="1:9" ht="11.25" customHeight="1">
      <c r="A132" s="1776" t="s">
        <v>2248</v>
      </c>
      <c r="B132" s="1776" t="s">
        <v>16</v>
      </c>
      <c r="C132" s="1776" t="s">
        <v>2802</v>
      </c>
      <c r="D132" s="1776" t="s">
        <v>2803</v>
      </c>
      <c r="E132" s="1776" t="s">
        <v>2804</v>
      </c>
      <c r="F132" s="1776" t="s">
        <v>2281</v>
      </c>
      <c r="G132" s="1776" t="s">
        <v>2805</v>
      </c>
      <c r="H132" s="1776" t="s">
        <v>22</v>
      </c>
      <c r="I132" s="1776" t="s">
        <v>810</v>
      </c>
    </row>
    <row r="133" spans="1:9" ht="11.25" customHeight="1">
      <c r="A133" s="1776" t="s">
        <v>2248</v>
      </c>
      <c r="B133" s="1776" t="s">
        <v>16</v>
      </c>
      <c r="C133" s="1776" t="s">
        <v>2806</v>
      </c>
      <c r="D133" s="1776" t="s">
        <v>2807</v>
      </c>
      <c r="E133" s="1776" t="s">
        <v>2808</v>
      </c>
      <c r="F133" s="1776" t="s">
        <v>2281</v>
      </c>
      <c r="G133" s="1776" t="s">
        <v>2809</v>
      </c>
      <c r="H133" s="1776" t="s">
        <v>22</v>
      </c>
      <c r="I133" s="1776" t="s">
        <v>810</v>
      </c>
    </row>
    <row r="134" spans="1:9" ht="11.25" customHeight="1">
      <c r="A134" s="1776" t="s">
        <v>2248</v>
      </c>
      <c r="B134" s="1776" t="s">
        <v>16</v>
      </c>
      <c r="C134" s="1776" t="s">
        <v>2810</v>
      </c>
      <c r="D134" s="1776" t="s">
        <v>2811</v>
      </c>
      <c r="E134" s="1776" t="s">
        <v>2812</v>
      </c>
      <c r="F134" s="1776" t="s">
        <v>2558</v>
      </c>
      <c r="G134" s="1776" t="s">
        <v>2813</v>
      </c>
      <c r="H134" s="1776" t="s">
        <v>22</v>
      </c>
      <c r="I134" s="1776" t="s">
        <v>810</v>
      </c>
    </row>
    <row r="135" spans="1:9" ht="11.25" customHeight="1">
      <c r="A135" s="1776" t="s">
        <v>2248</v>
      </c>
      <c r="B135" s="1776" t="s">
        <v>16</v>
      </c>
      <c r="C135" s="1776" t="s">
        <v>2814</v>
      </c>
      <c r="D135" s="1776" t="s">
        <v>2815</v>
      </c>
      <c r="E135" s="1776" t="s">
        <v>2816</v>
      </c>
      <c r="F135" s="1776" t="s">
        <v>2488</v>
      </c>
      <c r="G135" s="1776" t="s">
        <v>2817</v>
      </c>
      <c r="H135" s="1776" t="s">
        <v>22</v>
      </c>
      <c r="I135" s="1776" t="s">
        <v>810</v>
      </c>
    </row>
    <row r="136" spans="1:9" ht="11.25" customHeight="1">
      <c r="A136" s="1776" t="s">
        <v>2248</v>
      </c>
      <c r="B136" s="1776" t="s">
        <v>16</v>
      </c>
      <c r="C136" s="1776" t="s">
        <v>2818</v>
      </c>
      <c r="D136" s="1776" t="s">
        <v>2819</v>
      </c>
      <c r="E136" s="1776" t="s">
        <v>2820</v>
      </c>
      <c r="F136" s="1776" t="s">
        <v>2281</v>
      </c>
      <c r="G136" s="1776" t="s">
        <v>2805</v>
      </c>
      <c r="H136" s="1776" t="s">
        <v>22</v>
      </c>
      <c r="I136" s="1776" t="s">
        <v>810</v>
      </c>
    </row>
    <row r="137" spans="1:9" ht="11.25" customHeight="1">
      <c r="A137" s="1776" t="s">
        <v>2248</v>
      </c>
      <c r="B137" s="1776" t="s">
        <v>16</v>
      </c>
      <c r="C137" s="1776" t="s">
        <v>2821</v>
      </c>
      <c r="D137" s="1776" t="s">
        <v>2822</v>
      </c>
      <c r="E137" s="1776" t="s">
        <v>2823</v>
      </c>
      <c r="F137" s="1776" t="s">
        <v>2653</v>
      </c>
      <c r="G137" s="1776" t="s">
        <v>2824</v>
      </c>
      <c r="H137" s="1776" t="s">
        <v>22</v>
      </c>
      <c r="I137" s="1776" t="s">
        <v>810</v>
      </c>
    </row>
    <row r="138" spans="1:9" ht="11.25" customHeight="1">
      <c r="A138" s="1776" t="s">
        <v>2248</v>
      </c>
      <c r="B138" s="1776" t="s">
        <v>16</v>
      </c>
      <c r="C138" s="1776" t="s">
        <v>2825</v>
      </c>
      <c r="D138" s="1776" t="s">
        <v>2826</v>
      </c>
      <c r="E138" s="1776" t="s">
        <v>2827</v>
      </c>
      <c r="F138" s="1776" t="s">
        <v>2345</v>
      </c>
      <c r="G138" s="1776" t="s">
        <v>2828</v>
      </c>
      <c r="H138" s="1776" t="s">
        <v>22</v>
      </c>
      <c r="I138" s="1776" t="s">
        <v>810</v>
      </c>
    </row>
    <row r="139" spans="1:9" ht="11.25" customHeight="1">
      <c r="A139" s="1776" t="s">
        <v>2248</v>
      </c>
      <c r="B139" s="1776" t="s">
        <v>16</v>
      </c>
      <c r="C139" s="1776" t="s">
        <v>2829</v>
      </c>
      <c r="D139" s="1776" t="s">
        <v>2830</v>
      </c>
      <c r="E139" s="1776" t="s">
        <v>2831</v>
      </c>
      <c r="F139" s="1776" t="s">
        <v>2345</v>
      </c>
      <c r="G139" s="1776" t="s">
        <v>2832</v>
      </c>
      <c r="H139" s="1776" t="s">
        <v>22</v>
      </c>
      <c r="I139" s="1776" t="s">
        <v>810</v>
      </c>
    </row>
    <row r="140" spans="1:9" ht="11.25" customHeight="1">
      <c r="A140" s="1776" t="s">
        <v>2248</v>
      </c>
      <c r="B140" s="1776" t="s">
        <v>16</v>
      </c>
      <c r="C140" s="1776" t="s">
        <v>2833</v>
      </c>
      <c r="D140" s="1776" t="s">
        <v>2834</v>
      </c>
      <c r="E140" s="1776" t="s">
        <v>2835</v>
      </c>
      <c r="F140" s="1776" t="s">
        <v>2281</v>
      </c>
      <c r="G140" s="1776" t="s">
        <v>22</v>
      </c>
      <c r="H140" s="1776" t="s">
        <v>22</v>
      </c>
      <c r="I140" s="1776" t="s">
        <v>810</v>
      </c>
    </row>
    <row r="141" spans="1:9" ht="11.25" customHeight="1">
      <c r="A141" s="1776" t="s">
        <v>2248</v>
      </c>
      <c r="B141" s="1776" t="s">
        <v>16</v>
      </c>
      <c r="C141" s="1776" t="s">
        <v>2836</v>
      </c>
      <c r="D141" s="1776" t="s">
        <v>2837</v>
      </c>
      <c r="E141" s="1776" t="s">
        <v>2838</v>
      </c>
      <c r="F141" s="1776" t="s">
        <v>2281</v>
      </c>
      <c r="G141" s="1776" t="s">
        <v>2839</v>
      </c>
      <c r="H141" s="1776" t="s">
        <v>22</v>
      </c>
      <c r="I141" s="1776" t="s">
        <v>810</v>
      </c>
    </row>
    <row r="142" spans="1:9" ht="11.25" customHeight="1">
      <c r="A142" s="1776" t="s">
        <v>2248</v>
      </c>
      <c r="B142" s="1776" t="s">
        <v>16</v>
      </c>
      <c r="C142" s="1776" t="s">
        <v>2840</v>
      </c>
      <c r="D142" s="1776" t="s">
        <v>2841</v>
      </c>
      <c r="E142" s="1776" t="s">
        <v>2842</v>
      </c>
      <c r="F142" s="1776" t="s">
        <v>2345</v>
      </c>
      <c r="G142" s="1776" t="s">
        <v>22</v>
      </c>
      <c r="H142" s="1776" t="s">
        <v>22</v>
      </c>
      <c r="I142" s="1776" t="s">
        <v>810</v>
      </c>
    </row>
    <row r="143" spans="1:9" ht="11.25" customHeight="1">
      <c r="A143" s="1776" t="s">
        <v>2248</v>
      </c>
      <c r="B143" s="1776" t="s">
        <v>16</v>
      </c>
      <c r="C143" s="1776" t="s">
        <v>2843</v>
      </c>
      <c r="D143" s="1776" t="s">
        <v>2844</v>
      </c>
      <c r="E143" s="1776" t="s">
        <v>2845</v>
      </c>
      <c r="F143" s="1776" t="s">
        <v>2619</v>
      </c>
      <c r="G143" s="1776" t="s">
        <v>2846</v>
      </c>
      <c r="H143" s="1776" t="s">
        <v>22</v>
      </c>
      <c r="I143" s="1776" t="s">
        <v>810</v>
      </c>
    </row>
    <row r="144" spans="1:9" ht="11.25" customHeight="1">
      <c r="A144" s="1776" t="s">
        <v>2248</v>
      </c>
      <c r="B144" s="1776" t="s">
        <v>16</v>
      </c>
      <c r="C144" s="1776" t="s">
        <v>2847</v>
      </c>
      <c r="D144" s="1776" t="s">
        <v>2848</v>
      </c>
      <c r="E144" s="1776" t="s">
        <v>2849</v>
      </c>
      <c r="F144" s="1776" t="s">
        <v>2850</v>
      </c>
      <c r="G144" s="1776" t="s">
        <v>22</v>
      </c>
      <c r="H144" s="1776" t="s">
        <v>22</v>
      </c>
      <c r="I144" s="1776" t="s">
        <v>810</v>
      </c>
    </row>
    <row r="145" spans="1:9" ht="11.25" customHeight="1">
      <c r="A145" s="1776" t="s">
        <v>2248</v>
      </c>
      <c r="B145" s="1776" t="s">
        <v>16</v>
      </c>
      <c r="C145" s="1776" t="s">
        <v>2851</v>
      </c>
      <c r="D145" s="1776" t="s">
        <v>2852</v>
      </c>
      <c r="E145" s="1776" t="s">
        <v>2853</v>
      </c>
      <c r="F145" s="1776" t="s">
        <v>2326</v>
      </c>
      <c r="G145" s="1776" t="s">
        <v>2854</v>
      </c>
      <c r="H145" s="1776" t="s">
        <v>22</v>
      </c>
      <c r="I145" s="1776" t="s">
        <v>810</v>
      </c>
    </row>
    <row r="146" spans="1:9" ht="11.25" customHeight="1">
      <c r="A146" s="1776" t="s">
        <v>2248</v>
      </c>
      <c r="B146" s="1776" t="s">
        <v>16</v>
      </c>
      <c r="C146" s="1776" t="s">
        <v>2855</v>
      </c>
      <c r="D146" s="1776" t="s">
        <v>2856</v>
      </c>
      <c r="E146" s="1776" t="s">
        <v>2857</v>
      </c>
      <c r="F146" s="1776" t="s">
        <v>2619</v>
      </c>
      <c r="G146" s="1776" t="s">
        <v>2858</v>
      </c>
      <c r="H146" s="1776" t="s">
        <v>22</v>
      </c>
      <c r="I146" s="1776" t="s">
        <v>810</v>
      </c>
    </row>
    <row r="147" spans="1:9" ht="11.25" customHeight="1">
      <c r="A147" s="1776" t="s">
        <v>2248</v>
      </c>
      <c r="B147" s="1776" t="s">
        <v>16</v>
      </c>
      <c r="C147" s="1776" t="s">
        <v>2859</v>
      </c>
      <c r="D147" s="1776" t="s">
        <v>2860</v>
      </c>
      <c r="E147" s="1776" t="s">
        <v>2861</v>
      </c>
      <c r="F147" s="1776" t="s">
        <v>2619</v>
      </c>
      <c r="G147" s="1776" t="s">
        <v>22</v>
      </c>
      <c r="H147" s="1776" t="s">
        <v>22</v>
      </c>
      <c r="I147" s="1776" t="s">
        <v>810</v>
      </c>
    </row>
    <row r="148" spans="1:9" ht="11.25" customHeight="1">
      <c r="A148" s="1776" t="s">
        <v>2248</v>
      </c>
      <c r="B148" s="1776" t="s">
        <v>16</v>
      </c>
      <c r="C148" s="1776" t="s">
        <v>2862</v>
      </c>
      <c r="D148" s="1776" t="s">
        <v>2863</v>
      </c>
      <c r="E148" s="1776" t="s">
        <v>2864</v>
      </c>
      <c r="F148" s="1776" t="s">
        <v>2326</v>
      </c>
      <c r="G148" s="1776" t="s">
        <v>2865</v>
      </c>
      <c r="H148" s="1776" t="s">
        <v>22</v>
      </c>
      <c r="I148" s="1776" t="s">
        <v>810</v>
      </c>
    </row>
    <row r="149" spans="1:9" ht="11.25" customHeight="1">
      <c r="A149" s="1776" t="s">
        <v>2248</v>
      </c>
      <c r="B149" s="1776" t="s">
        <v>16</v>
      </c>
      <c r="C149" s="1776" t="s">
        <v>2866</v>
      </c>
      <c r="D149" s="1776" t="s">
        <v>2867</v>
      </c>
      <c r="E149" s="1776" t="s">
        <v>2868</v>
      </c>
      <c r="F149" s="1776" t="s">
        <v>2869</v>
      </c>
      <c r="G149" s="1776" t="s">
        <v>2870</v>
      </c>
      <c r="H149" s="1776" t="s">
        <v>22</v>
      </c>
      <c r="I149" s="1776" t="s">
        <v>810</v>
      </c>
    </row>
    <row r="150" spans="1:9" ht="11.25" customHeight="1">
      <c r="A150" s="1776" t="s">
        <v>2248</v>
      </c>
      <c r="B150" s="1776" t="s">
        <v>16</v>
      </c>
      <c r="C150" s="1776" t="s">
        <v>2871</v>
      </c>
      <c r="D150" s="1776" t="s">
        <v>2872</v>
      </c>
      <c r="E150" s="1776" t="s">
        <v>2873</v>
      </c>
      <c r="F150" s="1776" t="s">
        <v>2874</v>
      </c>
      <c r="G150" s="1776" t="s">
        <v>2875</v>
      </c>
      <c r="H150" s="1776" t="s">
        <v>22</v>
      </c>
      <c r="I150" s="1776" t="s">
        <v>810</v>
      </c>
    </row>
    <row r="151" spans="1:9" ht="11.25" customHeight="1">
      <c r="A151" s="1776" t="s">
        <v>2248</v>
      </c>
      <c r="B151" s="1776" t="s">
        <v>16</v>
      </c>
      <c r="C151" s="1776" t="s">
        <v>2876</v>
      </c>
      <c r="D151" s="1776" t="s">
        <v>2877</v>
      </c>
      <c r="E151" s="1776" t="s">
        <v>2878</v>
      </c>
      <c r="F151" s="1776" t="s">
        <v>2281</v>
      </c>
      <c r="G151" s="1776" t="s">
        <v>22</v>
      </c>
      <c r="H151" s="1776" t="s">
        <v>22</v>
      </c>
      <c r="I151" s="1776" t="s">
        <v>810</v>
      </c>
    </row>
    <row r="152" spans="1:9" ht="11.25" customHeight="1">
      <c r="A152" s="1776" t="s">
        <v>2248</v>
      </c>
      <c r="B152" s="1776" t="s">
        <v>16</v>
      </c>
      <c r="C152" s="1776" t="s">
        <v>2879</v>
      </c>
      <c r="D152" s="1776" t="s">
        <v>2880</v>
      </c>
      <c r="E152" s="1776" t="s">
        <v>2881</v>
      </c>
      <c r="F152" s="1776" t="s">
        <v>2281</v>
      </c>
      <c r="G152" s="1776" t="s">
        <v>2882</v>
      </c>
      <c r="H152" s="1776" t="s">
        <v>22</v>
      </c>
      <c r="I152" s="1776" t="s">
        <v>810</v>
      </c>
    </row>
    <row r="153" spans="1:9" ht="11.25" customHeight="1">
      <c r="A153" s="1776" t="s">
        <v>2248</v>
      </c>
      <c r="B153" s="1776" t="s">
        <v>16</v>
      </c>
      <c r="C153" s="1776" t="s">
        <v>2883</v>
      </c>
      <c r="D153" s="1776" t="s">
        <v>2884</v>
      </c>
      <c r="E153" s="1776" t="s">
        <v>2885</v>
      </c>
      <c r="F153" s="1776" t="s">
        <v>2886</v>
      </c>
      <c r="G153" s="1776" t="s">
        <v>2887</v>
      </c>
      <c r="H153" s="1776" t="s">
        <v>22</v>
      </c>
      <c r="I153" s="1776" t="s">
        <v>810</v>
      </c>
    </row>
    <row r="154" spans="1:9" ht="11.25" customHeight="1">
      <c r="A154" s="1776" t="s">
        <v>2248</v>
      </c>
      <c r="B154" s="1776" t="s">
        <v>16</v>
      </c>
      <c r="C154" s="1776" t="s">
        <v>2888</v>
      </c>
      <c r="D154" s="1776" t="s">
        <v>2889</v>
      </c>
      <c r="E154" s="1776" t="s">
        <v>2890</v>
      </c>
      <c r="F154" s="1776" t="s">
        <v>2891</v>
      </c>
      <c r="G154" s="1776" t="s">
        <v>2892</v>
      </c>
      <c r="H154" s="1776" t="s">
        <v>22</v>
      </c>
      <c r="I154" s="1776" t="s">
        <v>810</v>
      </c>
    </row>
    <row r="155" spans="1:9" ht="11.25" customHeight="1">
      <c r="A155" s="1776" t="s">
        <v>2248</v>
      </c>
      <c r="B155" s="1776" t="s">
        <v>16</v>
      </c>
      <c r="C155" s="1776" t="s">
        <v>2893</v>
      </c>
      <c r="D155" s="1776" t="s">
        <v>2894</v>
      </c>
      <c r="E155" s="1776" t="s">
        <v>2895</v>
      </c>
      <c r="F155" s="1776" t="s">
        <v>2896</v>
      </c>
      <c r="G155" s="1776" t="s">
        <v>22</v>
      </c>
      <c r="H155" s="1776" t="s">
        <v>22</v>
      </c>
      <c r="I155" s="1776" t="s">
        <v>810</v>
      </c>
    </row>
    <row r="156" spans="1:9" ht="11.25" customHeight="1">
      <c r="A156" s="1776" t="s">
        <v>2248</v>
      </c>
      <c r="B156" s="1776" t="s">
        <v>16</v>
      </c>
      <c r="C156" s="1776" t="s">
        <v>2897</v>
      </c>
      <c r="D156" s="1776" t="s">
        <v>2898</v>
      </c>
      <c r="E156" s="1776" t="s">
        <v>2899</v>
      </c>
      <c r="F156" s="1776" t="s">
        <v>2345</v>
      </c>
      <c r="G156" s="1776" t="s">
        <v>2900</v>
      </c>
      <c r="H156" s="1776" t="s">
        <v>22</v>
      </c>
      <c r="I156" s="1776" t="s">
        <v>810</v>
      </c>
    </row>
    <row r="157" spans="1:9" ht="11.25" customHeight="1">
      <c r="A157" s="1776" t="s">
        <v>2248</v>
      </c>
      <c r="B157" s="1776" t="s">
        <v>16</v>
      </c>
      <c r="C157" s="1776" t="s">
        <v>2901</v>
      </c>
      <c r="D157" s="1776" t="s">
        <v>2902</v>
      </c>
      <c r="E157" s="1776" t="s">
        <v>2903</v>
      </c>
      <c r="F157" s="1776" t="s">
        <v>2904</v>
      </c>
      <c r="G157" s="1776" t="s">
        <v>2905</v>
      </c>
      <c r="H157" s="1776" t="s">
        <v>22</v>
      </c>
      <c r="I157" s="1776" t="s">
        <v>810</v>
      </c>
    </row>
    <row r="158" spans="1:9" ht="11.25" customHeight="1">
      <c r="A158" s="1776" t="s">
        <v>2248</v>
      </c>
      <c r="B158" s="1776" t="s">
        <v>16</v>
      </c>
      <c r="C158" s="1776" t="s">
        <v>2906</v>
      </c>
      <c r="D158" s="1776" t="s">
        <v>2907</v>
      </c>
      <c r="E158" s="1776" t="s">
        <v>2908</v>
      </c>
      <c r="F158" s="1776" t="s">
        <v>2345</v>
      </c>
      <c r="G158" s="1776" t="s">
        <v>22</v>
      </c>
      <c r="H158" s="1776" t="s">
        <v>22</v>
      </c>
      <c r="I158" s="1776" t="s">
        <v>810</v>
      </c>
    </row>
    <row r="159" spans="1:9" ht="11.25" customHeight="1">
      <c r="A159" s="1776" t="s">
        <v>2248</v>
      </c>
      <c r="B159" s="1776" t="s">
        <v>16</v>
      </c>
      <c r="C159" s="1776" t="s">
        <v>2909</v>
      </c>
      <c r="D159" s="1776" t="s">
        <v>2910</v>
      </c>
      <c r="E159" s="1776" t="s">
        <v>2911</v>
      </c>
      <c r="F159" s="1776" t="s">
        <v>2912</v>
      </c>
      <c r="G159" s="1776" t="s">
        <v>2913</v>
      </c>
      <c r="H159" s="1776" t="s">
        <v>22</v>
      </c>
      <c r="I159" s="1776" t="s">
        <v>810</v>
      </c>
    </row>
    <row r="160" spans="1:9" ht="11.25" customHeight="1">
      <c r="A160" s="1776" t="s">
        <v>2248</v>
      </c>
      <c r="B160" s="1776" t="s">
        <v>16</v>
      </c>
      <c r="C160" s="1776" t="s">
        <v>2914</v>
      </c>
      <c r="D160" s="1776" t="s">
        <v>2915</v>
      </c>
      <c r="E160" s="1776" t="s">
        <v>2916</v>
      </c>
      <c r="F160" s="1776" t="s">
        <v>2917</v>
      </c>
      <c r="G160" s="1776" t="s">
        <v>22</v>
      </c>
      <c r="H160" s="1776" t="s">
        <v>22</v>
      </c>
      <c r="I160" s="1776" t="s">
        <v>810</v>
      </c>
    </row>
    <row r="161" spans="1:9" ht="11.25" customHeight="1">
      <c r="A161" s="1776" t="s">
        <v>2248</v>
      </c>
      <c r="B161" s="1776" t="s">
        <v>16</v>
      </c>
      <c r="C161" s="1776" t="s">
        <v>2918</v>
      </c>
      <c r="D161" s="1776" t="s">
        <v>2919</v>
      </c>
      <c r="E161" s="1776" t="s">
        <v>2920</v>
      </c>
      <c r="F161" s="1776" t="s">
        <v>2290</v>
      </c>
      <c r="G161" s="1776" t="s">
        <v>2921</v>
      </c>
      <c r="H161" s="1776" t="s">
        <v>22</v>
      </c>
      <c r="I161" s="1776" t="s">
        <v>810</v>
      </c>
    </row>
    <row r="162" spans="1:9" ht="11.25" customHeight="1">
      <c r="A162" s="1776" t="s">
        <v>2248</v>
      </c>
      <c r="B162" s="1776" t="s">
        <v>16</v>
      </c>
      <c r="C162" s="1776" t="s">
        <v>2922</v>
      </c>
      <c r="D162" s="1776" t="s">
        <v>2923</v>
      </c>
      <c r="E162" s="1776" t="s">
        <v>2275</v>
      </c>
      <c r="F162" s="1776" t="s">
        <v>2924</v>
      </c>
      <c r="G162" s="1776" t="s">
        <v>2925</v>
      </c>
      <c r="H162" s="1776" t="s">
        <v>22</v>
      </c>
      <c r="I162" s="1776" t="s">
        <v>810</v>
      </c>
    </row>
    <row r="163" spans="1:9" ht="11.25" customHeight="1">
      <c r="A163" s="1776" t="s">
        <v>2248</v>
      </c>
      <c r="B163" s="1776" t="s">
        <v>16</v>
      </c>
      <c r="C163" s="1776" t="s">
        <v>2265</v>
      </c>
      <c r="D163" s="1776" t="s">
        <v>2262</v>
      </c>
      <c r="E163" s="1776" t="s">
        <v>2263</v>
      </c>
      <c r="F163" s="1776" t="s">
        <v>2266</v>
      </c>
      <c r="G163" s="1776" t="s">
        <v>2267</v>
      </c>
      <c r="H163" s="1776" t="s">
        <v>22</v>
      </c>
      <c r="I163" s="1776" t="s">
        <v>896</v>
      </c>
    </row>
    <row r="164" spans="1:9" ht="11.25" customHeight="1">
      <c r="A164" s="1776" t="s">
        <v>2248</v>
      </c>
      <c r="B164" s="1776" t="s">
        <v>16</v>
      </c>
      <c r="C164" s="1776" t="s">
        <v>2283</v>
      </c>
      <c r="D164" s="1776" t="s">
        <v>2284</v>
      </c>
      <c r="E164" s="1776" t="s">
        <v>2285</v>
      </c>
      <c r="F164" s="1776" t="s">
        <v>51</v>
      </c>
      <c r="G164" s="1776" t="s">
        <v>2286</v>
      </c>
      <c r="H164" s="1776" t="s">
        <v>22</v>
      </c>
      <c r="I164" s="1776" t="s">
        <v>896</v>
      </c>
    </row>
    <row r="165" spans="1:9" ht="11.25" customHeight="1">
      <c r="A165" s="1776" t="s">
        <v>2248</v>
      </c>
      <c r="B165" s="1776" t="s">
        <v>16</v>
      </c>
      <c r="C165" s="1776" t="s">
        <v>2296</v>
      </c>
      <c r="D165" s="1776" t="s">
        <v>2297</v>
      </c>
      <c r="E165" s="1776" t="s">
        <v>2298</v>
      </c>
      <c r="F165" s="1776" t="s">
        <v>2299</v>
      </c>
      <c r="G165" s="1776" t="s">
        <v>2300</v>
      </c>
      <c r="H165" s="1776" t="s">
        <v>22</v>
      </c>
      <c r="I165" s="1776" t="s">
        <v>896</v>
      </c>
    </row>
    <row r="166" spans="1:9" ht="11.25" customHeight="1">
      <c r="A166" s="1776" t="s">
        <v>2248</v>
      </c>
      <c r="B166" s="1776" t="s">
        <v>16</v>
      </c>
      <c r="C166" s="1776" t="s">
        <v>2309</v>
      </c>
      <c r="D166" s="1776" t="s">
        <v>2310</v>
      </c>
      <c r="E166" s="1776" t="s">
        <v>2311</v>
      </c>
      <c r="F166" s="1776" t="s">
        <v>2312</v>
      </c>
      <c r="G166" s="1776" t="s">
        <v>22</v>
      </c>
      <c r="H166" s="1776" t="s">
        <v>22</v>
      </c>
      <c r="I166" s="1776" t="s">
        <v>896</v>
      </c>
    </row>
    <row r="167" spans="1:9" ht="11.25" customHeight="1">
      <c r="A167" s="1776" t="s">
        <v>2248</v>
      </c>
      <c r="B167" s="1776" t="s">
        <v>16</v>
      </c>
      <c r="C167" s="1776" t="s">
        <v>22</v>
      </c>
      <c r="D167" s="1776" t="s">
        <v>2359</v>
      </c>
      <c r="E167" s="1776" t="s">
        <v>2360</v>
      </c>
      <c r="F167" s="1776" t="s">
        <v>2345</v>
      </c>
      <c r="G167" s="1776" t="s">
        <v>22</v>
      </c>
      <c r="H167" s="1776" t="s">
        <v>22</v>
      </c>
      <c r="I167" s="1776" t="s">
        <v>896</v>
      </c>
    </row>
    <row r="168" spans="1:9" ht="11.25" customHeight="1">
      <c r="A168" s="1776" t="s">
        <v>2248</v>
      </c>
      <c r="B168" s="1776" t="s">
        <v>16</v>
      </c>
      <c r="C168" s="1776" t="s">
        <v>2361</v>
      </c>
      <c r="D168" s="1776" t="s">
        <v>2362</v>
      </c>
      <c r="E168" s="1776" t="s">
        <v>2363</v>
      </c>
      <c r="F168" s="1776" t="s">
        <v>2364</v>
      </c>
      <c r="G168" s="1776" t="s">
        <v>2365</v>
      </c>
      <c r="H168" s="1776" t="s">
        <v>22</v>
      </c>
      <c r="I168" s="1776" t="s">
        <v>896</v>
      </c>
    </row>
    <row r="169" spans="1:9" ht="11.25" customHeight="1">
      <c r="A169" s="1776" t="s">
        <v>2248</v>
      </c>
      <c r="B169" s="1776" t="s">
        <v>16</v>
      </c>
      <c r="C169" s="1776" t="s">
        <v>2379</v>
      </c>
      <c r="D169" s="1776" t="s">
        <v>2380</v>
      </c>
      <c r="E169" s="1776" t="s">
        <v>2381</v>
      </c>
      <c r="F169" s="1776" t="s">
        <v>2364</v>
      </c>
      <c r="G169" s="1776" t="s">
        <v>2382</v>
      </c>
      <c r="H169" s="1776" t="s">
        <v>22</v>
      </c>
      <c r="I169" s="1776" t="s">
        <v>896</v>
      </c>
    </row>
    <row r="170" spans="1:9" ht="11.25" customHeight="1">
      <c r="A170" s="1776" t="s">
        <v>2248</v>
      </c>
      <c r="B170" s="1776" t="s">
        <v>16</v>
      </c>
      <c r="C170" s="1776" t="s">
        <v>2392</v>
      </c>
      <c r="D170" s="1776" t="s">
        <v>2393</v>
      </c>
      <c r="E170" s="1776" t="s">
        <v>2394</v>
      </c>
      <c r="F170" s="1776" t="s">
        <v>2256</v>
      </c>
      <c r="G170" s="1776" t="s">
        <v>22</v>
      </c>
      <c r="H170" s="1776" t="s">
        <v>22</v>
      </c>
      <c r="I170" s="1776" t="s">
        <v>896</v>
      </c>
    </row>
    <row r="171" spans="1:9" ht="11.25" customHeight="1">
      <c r="A171" s="1776" t="s">
        <v>2248</v>
      </c>
      <c r="B171" s="1776" t="s">
        <v>16</v>
      </c>
      <c r="C171" s="1776" t="s">
        <v>2404</v>
      </c>
      <c r="D171" s="1776" t="s">
        <v>2405</v>
      </c>
      <c r="E171" s="1776" t="s">
        <v>2406</v>
      </c>
      <c r="F171" s="1776" t="s">
        <v>2407</v>
      </c>
      <c r="G171" s="1776" t="s">
        <v>2408</v>
      </c>
      <c r="H171" s="1776" t="s">
        <v>22</v>
      </c>
      <c r="I171" s="1776" t="s">
        <v>896</v>
      </c>
    </row>
    <row r="172" spans="1:9" ht="11.25" customHeight="1">
      <c r="A172" s="1776" t="s">
        <v>2248</v>
      </c>
      <c r="B172" s="1776" t="s">
        <v>16</v>
      </c>
      <c r="C172" s="1776" t="s">
        <v>2409</v>
      </c>
      <c r="D172" s="1776" t="s">
        <v>2410</v>
      </c>
      <c r="E172" s="1776" t="s">
        <v>2411</v>
      </c>
      <c r="F172" s="1776" t="s">
        <v>2412</v>
      </c>
      <c r="G172" s="1776" t="s">
        <v>2413</v>
      </c>
      <c r="H172" s="1776" t="s">
        <v>22</v>
      </c>
      <c r="I172" s="1776" t="s">
        <v>896</v>
      </c>
    </row>
    <row r="173" spans="1:9" ht="11.25" customHeight="1">
      <c r="A173" s="1776" t="s">
        <v>2248</v>
      </c>
      <c r="B173" s="1776" t="s">
        <v>16</v>
      </c>
      <c r="C173" s="1776" t="s">
        <v>2414</v>
      </c>
      <c r="D173" s="1776" t="s">
        <v>2415</v>
      </c>
      <c r="E173" s="1776" t="s">
        <v>2416</v>
      </c>
      <c r="F173" s="1776" t="s">
        <v>2412</v>
      </c>
      <c r="G173" s="1776" t="s">
        <v>2417</v>
      </c>
      <c r="H173" s="1776" t="s">
        <v>22</v>
      </c>
      <c r="I173" s="1776" t="s">
        <v>896</v>
      </c>
    </row>
    <row r="174" spans="1:9" ht="11.25" customHeight="1">
      <c r="A174" s="1776" t="s">
        <v>2248</v>
      </c>
      <c r="B174" s="1776" t="s">
        <v>16</v>
      </c>
      <c r="C174" s="1776" t="s">
        <v>2418</v>
      </c>
      <c r="D174" s="1776" t="s">
        <v>2419</v>
      </c>
      <c r="E174" s="1776" t="s">
        <v>2420</v>
      </c>
      <c r="F174" s="1776" t="s">
        <v>2374</v>
      </c>
      <c r="G174" s="1776" t="s">
        <v>2421</v>
      </c>
      <c r="H174" s="1776" t="s">
        <v>22</v>
      </c>
      <c r="I174" s="1776" t="s">
        <v>896</v>
      </c>
    </row>
    <row r="175" spans="1:9" ht="11.25" customHeight="1">
      <c r="A175" s="1776" t="s">
        <v>2248</v>
      </c>
      <c r="B175" s="1776" t="s">
        <v>16</v>
      </c>
      <c r="C175" s="1776" t="s">
        <v>2422</v>
      </c>
      <c r="D175" s="1776" t="s">
        <v>2423</v>
      </c>
      <c r="E175" s="1776" t="s">
        <v>2424</v>
      </c>
      <c r="F175" s="1776" t="s">
        <v>2425</v>
      </c>
      <c r="G175" s="1776" t="s">
        <v>2426</v>
      </c>
      <c r="H175" s="1776" t="s">
        <v>22</v>
      </c>
      <c r="I175" s="1776" t="s">
        <v>896</v>
      </c>
    </row>
    <row r="176" spans="1:9" ht="11.25" customHeight="1">
      <c r="A176" s="1776" t="s">
        <v>2248</v>
      </c>
      <c r="B176" s="1776" t="s">
        <v>16</v>
      </c>
      <c r="C176" s="1776" t="s">
        <v>2447</v>
      </c>
      <c r="D176" s="1776" t="s">
        <v>2448</v>
      </c>
      <c r="E176" s="1776" t="s">
        <v>2449</v>
      </c>
      <c r="F176" s="1776" t="s">
        <v>2345</v>
      </c>
      <c r="G176" s="1776" t="s">
        <v>2435</v>
      </c>
      <c r="H176" s="1776" t="s">
        <v>22</v>
      </c>
      <c r="I176" s="1776" t="s">
        <v>896</v>
      </c>
    </row>
    <row r="177" spans="1:9" ht="11.25" customHeight="1">
      <c r="A177" s="1776" t="s">
        <v>2248</v>
      </c>
      <c r="B177" s="1776" t="s">
        <v>16</v>
      </c>
      <c r="C177" s="1776" t="s">
        <v>2450</v>
      </c>
      <c r="D177" s="1776" t="s">
        <v>2451</v>
      </c>
      <c r="E177" s="1776" t="s">
        <v>2452</v>
      </c>
      <c r="F177" s="1776" t="s">
        <v>2312</v>
      </c>
      <c r="G177" s="1776" t="s">
        <v>2453</v>
      </c>
      <c r="H177" s="1776" t="s">
        <v>22</v>
      </c>
      <c r="I177" s="1776" t="s">
        <v>896</v>
      </c>
    </row>
    <row r="178" spans="1:9" ht="11.25" customHeight="1">
      <c r="A178" s="1776" t="s">
        <v>2248</v>
      </c>
      <c r="B178" s="1776" t="s">
        <v>16</v>
      </c>
      <c r="C178" s="1776" t="s">
        <v>2467</v>
      </c>
      <c r="D178" s="1776" t="s">
        <v>2468</v>
      </c>
      <c r="E178" s="1776" t="s">
        <v>2469</v>
      </c>
      <c r="F178" s="1776" t="s">
        <v>2345</v>
      </c>
      <c r="G178" s="1776" t="s">
        <v>2470</v>
      </c>
      <c r="H178" s="1776" t="s">
        <v>22</v>
      </c>
      <c r="I178" s="1776" t="s">
        <v>896</v>
      </c>
    </row>
    <row r="179" spans="1:9" ht="11.25" customHeight="1">
      <c r="A179" s="1776" t="s">
        <v>2248</v>
      </c>
      <c r="B179" s="1776" t="s">
        <v>16</v>
      </c>
      <c r="C179" s="1776" t="s">
        <v>2471</v>
      </c>
      <c r="D179" s="1776" t="s">
        <v>2472</v>
      </c>
      <c r="E179" s="1776" t="s">
        <v>2473</v>
      </c>
      <c r="F179" s="1776" t="s">
        <v>2364</v>
      </c>
      <c r="G179" s="1776" t="s">
        <v>2474</v>
      </c>
      <c r="H179" s="1776" t="s">
        <v>22</v>
      </c>
      <c r="I179" s="1776" t="s">
        <v>896</v>
      </c>
    </row>
    <row r="180" spans="1:9" ht="11.25" customHeight="1">
      <c r="A180" s="1776" t="s">
        <v>2248</v>
      </c>
      <c r="B180" s="1776" t="s">
        <v>16</v>
      </c>
      <c r="C180" s="1776" t="s">
        <v>2503</v>
      </c>
      <c r="D180" s="1776" t="s">
        <v>2504</v>
      </c>
      <c r="E180" s="1776" t="s">
        <v>2505</v>
      </c>
      <c r="F180" s="1776" t="s">
        <v>2506</v>
      </c>
      <c r="G180" s="1776" t="s">
        <v>2507</v>
      </c>
      <c r="H180" s="1776" t="s">
        <v>22</v>
      </c>
      <c r="I180" s="1776" t="s">
        <v>896</v>
      </c>
    </row>
    <row r="181" spans="1:9" ht="11.25" customHeight="1">
      <c r="A181" s="1776" t="s">
        <v>2248</v>
      </c>
      <c r="B181" s="1776" t="s">
        <v>16</v>
      </c>
      <c r="C181" s="1776" t="s">
        <v>2517</v>
      </c>
      <c r="D181" s="1776" t="s">
        <v>2518</v>
      </c>
      <c r="E181" s="1776" t="s">
        <v>2519</v>
      </c>
      <c r="F181" s="1776" t="s">
        <v>2312</v>
      </c>
      <c r="G181" s="1776" t="s">
        <v>2520</v>
      </c>
      <c r="H181" s="1776" t="s">
        <v>22</v>
      </c>
      <c r="I181" s="1776" t="s">
        <v>896</v>
      </c>
    </row>
    <row r="182" spans="1:9" ht="11.25" customHeight="1">
      <c r="A182" s="1776" t="s">
        <v>2248</v>
      </c>
      <c r="B182" s="1776" t="s">
        <v>16</v>
      </c>
      <c r="C182" s="1776" t="s">
        <v>2521</v>
      </c>
      <c r="D182" s="1776" t="s">
        <v>2522</v>
      </c>
      <c r="E182" s="1776" t="s">
        <v>2523</v>
      </c>
      <c r="F182" s="1776" t="s">
        <v>2312</v>
      </c>
      <c r="G182" s="1776" t="s">
        <v>2524</v>
      </c>
      <c r="H182" s="1776" t="s">
        <v>22</v>
      </c>
      <c r="I182" s="1776" t="s">
        <v>896</v>
      </c>
    </row>
    <row r="183" spans="1:9" ht="11.25" customHeight="1">
      <c r="A183" s="1776" t="s">
        <v>2248</v>
      </c>
      <c r="B183" s="1776" t="s">
        <v>16</v>
      </c>
      <c r="C183" s="1776" t="s">
        <v>2550</v>
      </c>
      <c r="D183" s="1776" t="s">
        <v>2551</v>
      </c>
      <c r="E183" s="1776" t="s">
        <v>2552</v>
      </c>
      <c r="F183" s="1776" t="s">
        <v>2553</v>
      </c>
      <c r="G183" s="1776" t="s">
        <v>2554</v>
      </c>
      <c r="H183" s="1776" t="s">
        <v>22</v>
      </c>
      <c r="I183" s="1776" t="s">
        <v>896</v>
      </c>
    </row>
    <row r="184" spans="1:9" ht="11.25" customHeight="1">
      <c r="A184" s="1776" t="s">
        <v>2248</v>
      </c>
      <c r="B184" s="1776" t="s">
        <v>16</v>
      </c>
      <c r="C184" s="1776" t="s">
        <v>2561</v>
      </c>
      <c r="D184" s="1776" t="s">
        <v>2562</v>
      </c>
      <c r="E184" s="1776" t="s">
        <v>2563</v>
      </c>
      <c r="F184" s="1776" t="s">
        <v>2553</v>
      </c>
      <c r="G184" s="1776" t="s">
        <v>2564</v>
      </c>
      <c r="H184" s="1776" t="s">
        <v>22</v>
      </c>
      <c r="I184" s="1776" t="s">
        <v>896</v>
      </c>
    </row>
    <row r="185" spans="1:9" ht="11.25" customHeight="1">
      <c r="A185" s="1776" t="s">
        <v>2248</v>
      </c>
      <c r="B185" s="1776" t="s">
        <v>16</v>
      </c>
      <c r="C185" s="1776" t="s">
        <v>2565</v>
      </c>
      <c r="D185" s="1776" t="s">
        <v>2566</v>
      </c>
      <c r="E185" s="1776" t="s">
        <v>2567</v>
      </c>
      <c r="F185" s="1776" t="s">
        <v>2568</v>
      </c>
      <c r="G185" s="1776" t="s">
        <v>2569</v>
      </c>
      <c r="H185" s="1776" t="s">
        <v>22</v>
      </c>
      <c r="I185" s="1776" t="s">
        <v>896</v>
      </c>
    </row>
    <row r="186" spans="1:9" ht="11.25" customHeight="1">
      <c r="A186" s="1776" t="s">
        <v>2248</v>
      </c>
      <c r="B186" s="1776" t="s">
        <v>16</v>
      </c>
      <c r="C186" s="1776" t="s">
        <v>2574</v>
      </c>
      <c r="D186" s="1776" t="s">
        <v>2575</v>
      </c>
      <c r="E186" s="1776" t="s">
        <v>2576</v>
      </c>
      <c r="F186" s="1776" t="s">
        <v>2577</v>
      </c>
      <c r="G186" s="1776" t="s">
        <v>2578</v>
      </c>
      <c r="H186" s="1776" t="s">
        <v>22</v>
      </c>
      <c r="I186" s="1776" t="s">
        <v>896</v>
      </c>
    </row>
    <row r="187" spans="1:9" ht="11.25" customHeight="1">
      <c r="A187" s="1776" t="s">
        <v>2248</v>
      </c>
      <c r="B187" s="1776" t="s">
        <v>16</v>
      </c>
      <c r="C187" s="1776" t="s">
        <v>2579</v>
      </c>
      <c r="D187" s="1776" t="s">
        <v>2575</v>
      </c>
      <c r="E187" s="1776" t="s">
        <v>2580</v>
      </c>
      <c r="F187" s="1776" t="s">
        <v>2568</v>
      </c>
      <c r="G187" s="1776" t="s">
        <v>22</v>
      </c>
      <c r="H187" s="1776" t="s">
        <v>22</v>
      </c>
      <c r="I187" s="1776" t="s">
        <v>896</v>
      </c>
    </row>
    <row r="188" spans="1:9" ht="11.25" customHeight="1">
      <c r="A188" s="1776" t="s">
        <v>2248</v>
      </c>
      <c r="B188" s="1776" t="s">
        <v>16</v>
      </c>
      <c r="C188" s="1776" t="s">
        <v>2581</v>
      </c>
      <c r="D188" s="1776" t="s">
        <v>2582</v>
      </c>
      <c r="E188" s="1776" t="s">
        <v>2583</v>
      </c>
      <c r="F188" s="1776" t="s">
        <v>2584</v>
      </c>
      <c r="G188" s="1776" t="s">
        <v>2585</v>
      </c>
      <c r="H188" s="1776" t="s">
        <v>22</v>
      </c>
      <c r="I188" s="1776" t="s">
        <v>896</v>
      </c>
    </row>
    <row r="189" spans="1:9" ht="11.25" customHeight="1">
      <c r="A189" s="1776" t="s">
        <v>2248</v>
      </c>
      <c r="B189" s="1776" t="s">
        <v>16</v>
      </c>
      <c r="C189" s="1776" t="s">
        <v>2602</v>
      </c>
      <c r="D189" s="1776" t="s">
        <v>2603</v>
      </c>
      <c r="E189" s="1776" t="s">
        <v>2604</v>
      </c>
      <c r="F189" s="1776" t="s">
        <v>2457</v>
      </c>
      <c r="G189" s="1776" t="s">
        <v>2605</v>
      </c>
      <c r="H189" s="1776" t="s">
        <v>22</v>
      </c>
      <c r="I189" s="1776" t="s">
        <v>896</v>
      </c>
    </row>
    <row r="190" spans="1:9" ht="11.25" customHeight="1">
      <c r="A190" s="1776" t="s">
        <v>2248</v>
      </c>
      <c r="B190" s="1776" t="s">
        <v>16</v>
      </c>
      <c r="C190" s="1776" t="s">
        <v>2606</v>
      </c>
      <c r="D190" s="1776" t="s">
        <v>2607</v>
      </c>
      <c r="E190" s="1776" t="s">
        <v>2608</v>
      </c>
      <c r="F190" s="1776" t="s">
        <v>2609</v>
      </c>
      <c r="G190" s="1776" t="s">
        <v>2610</v>
      </c>
      <c r="H190" s="1776" t="s">
        <v>22</v>
      </c>
      <c r="I190" s="1776" t="s">
        <v>896</v>
      </c>
    </row>
    <row r="191" spans="1:9" ht="11.25" customHeight="1">
      <c r="A191" s="1776" t="s">
        <v>2248</v>
      </c>
      <c r="B191" s="1776" t="s">
        <v>16</v>
      </c>
      <c r="C191" s="1776" t="s">
        <v>2621</v>
      </c>
      <c r="D191" s="1776" t="s">
        <v>2622</v>
      </c>
      <c r="E191" s="1776" t="s">
        <v>2623</v>
      </c>
      <c r="F191" s="1776" t="s">
        <v>2256</v>
      </c>
      <c r="G191" s="1776" t="s">
        <v>2624</v>
      </c>
      <c r="H191" s="1776" t="s">
        <v>22</v>
      </c>
      <c r="I191" s="1776" t="s">
        <v>896</v>
      </c>
    </row>
    <row r="192" spans="1:9" ht="11.25" customHeight="1">
      <c r="A192" s="1776" t="s">
        <v>2248</v>
      </c>
      <c r="B192" s="1776" t="s">
        <v>16</v>
      </c>
      <c r="C192" s="1776" t="s">
        <v>2632</v>
      </c>
      <c r="D192" s="1776" t="s">
        <v>2633</v>
      </c>
      <c r="E192" s="1776" t="s">
        <v>2634</v>
      </c>
      <c r="F192" s="1776" t="s">
        <v>2256</v>
      </c>
      <c r="G192" s="1776" t="s">
        <v>2635</v>
      </c>
      <c r="H192" s="1776" t="s">
        <v>22</v>
      </c>
      <c r="I192" s="1776" t="s">
        <v>896</v>
      </c>
    </row>
    <row r="193" spans="1:9" ht="11.25" customHeight="1">
      <c r="A193" s="1776" t="s">
        <v>2248</v>
      </c>
      <c r="B193" s="1776" t="s">
        <v>16</v>
      </c>
      <c r="C193" s="1776" t="s">
        <v>2650</v>
      </c>
      <c r="D193" s="1776" t="s">
        <v>2651</v>
      </c>
      <c r="E193" s="1776" t="s">
        <v>2652</v>
      </c>
      <c r="F193" s="1776" t="s">
        <v>2653</v>
      </c>
      <c r="G193" s="1776" t="s">
        <v>22</v>
      </c>
      <c r="H193" s="1776" t="s">
        <v>22</v>
      </c>
      <c r="I193" s="1776" t="s">
        <v>896</v>
      </c>
    </row>
    <row r="194" spans="1:9" ht="11.25" customHeight="1">
      <c r="A194" s="1776" t="s">
        <v>2248</v>
      </c>
      <c r="B194" s="1776" t="s">
        <v>16</v>
      </c>
      <c r="C194" s="1776" t="s">
        <v>2672</v>
      </c>
      <c r="D194" s="1776" t="s">
        <v>2673</v>
      </c>
      <c r="E194" s="1776" t="s">
        <v>2674</v>
      </c>
      <c r="F194" s="1776" t="s">
        <v>2256</v>
      </c>
      <c r="G194" s="1776" t="s">
        <v>2675</v>
      </c>
      <c r="H194" s="1776" t="s">
        <v>22</v>
      </c>
      <c r="I194" s="1776" t="s">
        <v>896</v>
      </c>
    </row>
    <row r="195" spans="1:9" ht="11.25" customHeight="1">
      <c r="A195" s="1776" t="s">
        <v>2248</v>
      </c>
      <c r="B195" s="1776" t="s">
        <v>16</v>
      </c>
      <c r="C195" s="1776" t="s">
        <v>2681</v>
      </c>
      <c r="D195" s="1776" t="s">
        <v>2682</v>
      </c>
      <c r="E195" s="1776" t="s">
        <v>2683</v>
      </c>
      <c r="F195" s="1776" t="s">
        <v>2619</v>
      </c>
      <c r="G195" s="1776" t="s">
        <v>2684</v>
      </c>
      <c r="H195" s="1776" t="s">
        <v>22</v>
      </c>
      <c r="I195" s="1776" t="s">
        <v>896</v>
      </c>
    </row>
    <row r="196" spans="1:9" ht="11.25" customHeight="1">
      <c r="A196" s="1776" t="s">
        <v>2248</v>
      </c>
      <c r="B196" s="1776" t="s">
        <v>16</v>
      </c>
      <c r="C196" s="1776" t="s">
        <v>2689</v>
      </c>
      <c r="D196" s="1776" t="s">
        <v>2690</v>
      </c>
      <c r="E196" s="1776" t="s">
        <v>2691</v>
      </c>
      <c r="F196" s="1776" t="s">
        <v>2577</v>
      </c>
      <c r="G196" s="1776" t="s">
        <v>2692</v>
      </c>
      <c r="H196" s="1776" t="s">
        <v>22</v>
      </c>
      <c r="I196" s="1776" t="s">
        <v>896</v>
      </c>
    </row>
    <row r="197" spans="1:9" ht="11.25" customHeight="1">
      <c r="A197" s="1776" t="s">
        <v>2248</v>
      </c>
      <c r="B197" s="1776" t="s">
        <v>16</v>
      </c>
      <c r="C197" s="1776" t="s">
        <v>2701</v>
      </c>
      <c r="D197" s="1776" t="s">
        <v>2702</v>
      </c>
      <c r="E197" s="1776" t="s">
        <v>2703</v>
      </c>
      <c r="F197" s="1776" t="s">
        <v>2281</v>
      </c>
      <c r="G197" s="1776" t="s">
        <v>22</v>
      </c>
      <c r="H197" s="1776" t="s">
        <v>22</v>
      </c>
      <c r="I197" s="1776" t="s">
        <v>896</v>
      </c>
    </row>
    <row r="198" spans="1:9" ht="11.25" customHeight="1">
      <c r="A198" s="1776" t="s">
        <v>2248</v>
      </c>
      <c r="B198" s="1776" t="s">
        <v>16</v>
      </c>
      <c r="C198" s="1776" t="s">
        <v>2704</v>
      </c>
      <c r="D198" s="1776" t="s">
        <v>2705</v>
      </c>
      <c r="E198" s="1776" t="s">
        <v>2706</v>
      </c>
      <c r="F198" s="1776" t="s">
        <v>2653</v>
      </c>
      <c r="G198" s="1776" t="s">
        <v>2707</v>
      </c>
      <c r="H198" s="1776" t="s">
        <v>22</v>
      </c>
      <c r="I198" s="1776" t="s">
        <v>896</v>
      </c>
    </row>
    <row r="199" spans="1:9" ht="11.25" customHeight="1">
      <c r="A199" s="1776" t="s">
        <v>2248</v>
      </c>
      <c r="B199" s="1776" t="s">
        <v>16</v>
      </c>
      <c r="C199" s="1776" t="s">
        <v>2712</v>
      </c>
      <c r="D199" s="1776" t="s">
        <v>2713</v>
      </c>
      <c r="E199" s="1776" t="s">
        <v>2714</v>
      </c>
      <c r="F199" s="1776" t="s">
        <v>2312</v>
      </c>
      <c r="G199" s="1776" t="s">
        <v>2715</v>
      </c>
      <c r="H199" s="1776" t="s">
        <v>22</v>
      </c>
      <c r="I199" s="1776" t="s">
        <v>896</v>
      </c>
    </row>
    <row r="200" spans="1:9" ht="11.25" customHeight="1">
      <c r="A200" s="1776" t="s">
        <v>2248</v>
      </c>
      <c r="B200" s="1776" t="s">
        <v>16</v>
      </c>
      <c r="C200" s="1776" t="s">
        <v>2716</v>
      </c>
      <c r="D200" s="1776" t="s">
        <v>2717</v>
      </c>
      <c r="E200" s="1776" t="s">
        <v>2718</v>
      </c>
      <c r="F200" s="1776" t="s">
        <v>2345</v>
      </c>
      <c r="G200" s="1776" t="s">
        <v>2719</v>
      </c>
      <c r="H200" s="1776" t="s">
        <v>22</v>
      </c>
      <c r="I200" s="1776" t="s">
        <v>896</v>
      </c>
    </row>
    <row r="201" spans="1:9" ht="11.25" customHeight="1">
      <c r="A201" s="1776" t="s">
        <v>2248</v>
      </c>
      <c r="B201" s="1776" t="s">
        <v>16</v>
      </c>
      <c r="C201" s="1776" t="s">
        <v>2724</v>
      </c>
      <c r="D201" s="1776" t="s">
        <v>2725</v>
      </c>
      <c r="E201" s="1776" t="s">
        <v>2726</v>
      </c>
      <c r="F201" s="1776" t="s">
        <v>2345</v>
      </c>
      <c r="G201" s="1776" t="s">
        <v>2727</v>
      </c>
      <c r="H201" s="1776" t="s">
        <v>22</v>
      </c>
      <c r="I201" s="1776" t="s">
        <v>896</v>
      </c>
    </row>
    <row r="202" spans="1:9" ht="11.25" customHeight="1">
      <c r="A202" s="1776" t="s">
        <v>2248</v>
      </c>
      <c r="B202" s="1776" t="s">
        <v>16</v>
      </c>
      <c r="C202" s="1776" t="s">
        <v>2728</v>
      </c>
      <c r="D202" s="1776" t="s">
        <v>2729</v>
      </c>
      <c r="E202" s="1776" t="s">
        <v>2730</v>
      </c>
      <c r="F202" s="1776" t="s">
        <v>2731</v>
      </c>
      <c r="G202" s="1776" t="s">
        <v>22</v>
      </c>
      <c r="H202" s="1776" t="s">
        <v>22</v>
      </c>
      <c r="I202" s="1776" t="s">
        <v>896</v>
      </c>
    </row>
    <row r="203" spans="1:9" ht="11.25" customHeight="1">
      <c r="A203" s="1776" t="s">
        <v>2248</v>
      </c>
      <c r="B203" s="1776" t="s">
        <v>16</v>
      </c>
      <c r="C203" s="1776" t="s">
        <v>2744</v>
      </c>
      <c r="D203" s="1776" t="s">
        <v>2745</v>
      </c>
      <c r="E203" s="1776" t="s">
        <v>2746</v>
      </c>
      <c r="F203" s="1776" t="s">
        <v>2439</v>
      </c>
      <c r="G203" s="1776" t="s">
        <v>2747</v>
      </c>
      <c r="H203" s="1776" t="s">
        <v>22</v>
      </c>
      <c r="I203" s="1776" t="s">
        <v>896</v>
      </c>
    </row>
    <row r="204" spans="1:9" ht="11.25" customHeight="1">
      <c r="A204" s="1776" t="s">
        <v>2248</v>
      </c>
      <c r="B204" s="1776" t="s">
        <v>16</v>
      </c>
      <c r="C204" s="1776" t="s">
        <v>2748</v>
      </c>
      <c r="D204" s="1776" t="s">
        <v>2749</v>
      </c>
      <c r="E204" s="1776" t="s">
        <v>2750</v>
      </c>
      <c r="F204" s="1776" t="s">
        <v>2374</v>
      </c>
      <c r="G204" s="1776" t="s">
        <v>2751</v>
      </c>
      <c r="H204" s="1776" t="s">
        <v>22</v>
      </c>
      <c r="I204" s="1776" t="s">
        <v>896</v>
      </c>
    </row>
    <row r="205" spans="1:9" ht="11.25" customHeight="1">
      <c r="A205" s="1776" t="s">
        <v>2248</v>
      </c>
      <c r="B205" s="1776" t="s">
        <v>16</v>
      </c>
      <c r="C205" s="1776" t="s">
        <v>2752</v>
      </c>
      <c r="D205" s="1776" t="s">
        <v>2753</v>
      </c>
      <c r="E205" s="1776" t="s">
        <v>2754</v>
      </c>
      <c r="F205" s="1776" t="s">
        <v>2374</v>
      </c>
      <c r="G205" s="1776" t="s">
        <v>2755</v>
      </c>
      <c r="H205" s="1776" t="s">
        <v>22</v>
      </c>
      <c r="I205" s="1776" t="s">
        <v>896</v>
      </c>
    </row>
    <row r="206" spans="1:9" ht="11.25" customHeight="1">
      <c r="A206" s="1776" t="s">
        <v>2248</v>
      </c>
      <c r="B206" s="1776" t="s">
        <v>16</v>
      </c>
      <c r="C206" s="1776" t="s">
        <v>2771</v>
      </c>
      <c r="D206" s="1776" t="s">
        <v>2772</v>
      </c>
      <c r="E206" s="1776" t="s">
        <v>2773</v>
      </c>
      <c r="F206" s="1776" t="s">
        <v>2345</v>
      </c>
      <c r="G206" s="1776" t="s">
        <v>2774</v>
      </c>
      <c r="H206" s="1776" t="s">
        <v>22</v>
      </c>
      <c r="I206" s="1776" t="s">
        <v>896</v>
      </c>
    </row>
    <row r="207" spans="1:9" ht="11.25" customHeight="1">
      <c r="A207" s="1776" t="s">
        <v>2248</v>
      </c>
      <c r="B207" s="1776" t="s">
        <v>16</v>
      </c>
      <c r="C207" s="1776" t="s">
        <v>2783</v>
      </c>
      <c r="D207" s="1776" t="s">
        <v>2784</v>
      </c>
      <c r="E207" s="1776" t="s">
        <v>2785</v>
      </c>
      <c r="F207" s="1776" t="s">
        <v>2345</v>
      </c>
      <c r="G207" s="1776" t="s">
        <v>2786</v>
      </c>
      <c r="H207" s="1776" t="s">
        <v>22</v>
      </c>
      <c r="I207" s="1776" t="s">
        <v>896</v>
      </c>
    </row>
    <row r="208" spans="1:9" ht="11.25" customHeight="1">
      <c r="A208" s="1776" t="s">
        <v>2248</v>
      </c>
      <c r="B208" s="1776" t="s">
        <v>16</v>
      </c>
      <c r="C208" s="1776" t="s">
        <v>2790</v>
      </c>
      <c r="D208" s="1776" t="s">
        <v>2791</v>
      </c>
      <c r="E208" s="1776" t="s">
        <v>2792</v>
      </c>
      <c r="F208" s="1776" t="s">
        <v>2345</v>
      </c>
      <c r="G208" s="1776" t="s">
        <v>2793</v>
      </c>
      <c r="H208" s="1776" t="s">
        <v>22</v>
      </c>
      <c r="I208" s="1776" t="s">
        <v>896</v>
      </c>
    </row>
    <row r="209" spans="1:9" ht="11.25" customHeight="1">
      <c r="A209" s="1776" t="s">
        <v>2248</v>
      </c>
      <c r="B209" s="1776" t="s">
        <v>16</v>
      </c>
      <c r="C209" s="1776" t="s">
        <v>2798</v>
      </c>
      <c r="D209" s="1776" t="s">
        <v>2799</v>
      </c>
      <c r="E209" s="1776" t="s">
        <v>2800</v>
      </c>
      <c r="F209" s="1776" t="s">
        <v>2653</v>
      </c>
      <c r="G209" s="1776" t="s">
        <v>2801</v>
      </c>
      <c r="H209" s="1776" t="s">
        <v>22</v>
      </c>
      <c r="I209" s="1776" t="s">
        <v>896</v>
      </c>
    </row>
    <row r="210" spans="1:9" ht="11.25" customHeight="1">
      <c r="A210" s="1776" t="s">
        <v>2248</v>
      </c>
      <c r="B210" s="1776" t="s">
        <v>16</v>
      </c>
      <c r="C210" s="1776" t="s">
        <v>2802</v>
      </c>
      <c r="D210" s="1776" t="s">
        <v>2803</v>
      </c>
      <c r="E210" s="1776" t="s">
        <v>2804</v>
      </c>
      <c r="F210" s="1776" t="s">
        <v>2281</v>
      </c>
      <c r="G210" s="1776" t="s">
        <v>2805</v>
      </c>
      <c r="H210" s="1776" t="s">
        <v>22</v>
      </c>
      <c r="I210" s="1776" t="s">
        <v>896</v>
      </c>
    </row>
    <row r="211" spans="1:9" ht="11.25" customHeight="1">
      <c r="A211" s="1776" t="s">
        <v>2248</v>
      </c>
      <c r="B211" s="1776" t="s">
        <v>16</v>
      </c>
      <c r="C211" s="1776" t="s">
        <v>2818</v>
      </c>
      <c r="D211" s="1776" t="s">
        <v>2819</v>
      </c>
      <c r="E211" s="1776" t="s">
        <v>2820</v>
      </c>
      <c r="F211" s="1776" t="s">
        <v>2281</v>
      </c>
      <c r="G211" s="1776" t="s">
        <v>2805</v>
      </c>
      <c r="H211" s="1776" t="s">
        <v>22</v>
      </c>
      <c r="I211" s="1776" t="s">
        <v>896</v>
      </c>
    </row>
    <row r="212" spans="1:9" ht="11.25" customHeight="1">
      <c r="A212" s="1776" t="s">
        <v>2248</v>
      </c>
      <c r="B212" s="1776" t="s">
        <v>16</v>
      </c>
      <c r="C212" s="1776" t="s">
        <v>2821</v>
      </c>
      <c r="D212" s="1776" t="s">
        <v>2822</v>
      </c>
      <c r="E212" s="1776" t="s">
        <v>2823</v>
      </c>
      <c r="F212" s="1776" t="s">
        <v>2653</v>
      </c>
      <c r="G212" s="1776" t="s">
        <v>2824</v>
      </c>
      <c r="H212" s="1776" t="s">
        <v>22</v>
      </c>
      <c r="I212" s="1776" t="s">
        <v>896</v>
      </c>
    </row>
    <row r="213" spans="1:9" ht="11.25" customHeight="1">
      <c r="A213" s="1776" t="s">
        <v>2248</v>
      </c>
      <c r="B213" s="1776" t="s">
        <v>16</v>
      </c>
      <c r="C213" s="1776" t="s">
        <v>2825</v>
      </c>
      <c r="D213" s="1776" t="s">
        <v>2826</v>
      </c>
      <c r="E213" s="1776" t="s">
        <v>2827</v>
      </c>
      <c r="F213" s="1776" t="s">
        <v>2345</v>
      </c>
      <c r="G213" s="1776" t="s">
        <v>2828</v>
      </c>
      <c r="H213" s="1776" t="s">
        <v>22</v>
      </c>
      <c r="I213" s="1776" t="s">
        <v>896</v>
      </c>
    </row>
    <row r="214" spans="1:9" ht="11.25" customHeight="1">
      <c r="A214" s="1776" t="s">
        <v>2248</v>
      </c>
      <c r="B214" s="1776" t="s">
        <v>16</v>
      </c>
      <c r="C214" s="1776" t="s">
        <v>2836</v>
      </c>
      <c r="D214" s="1776" t="s">
        <v>2837</v>
      </c>
      <c r="E214" s="1776" t="s">
        <v>2838</v>
      </c>
      <c r="F214" s="1776" t="s">
        <v>2281</v>
      </c>
      <c r="G214" s="1776" t="s">
        <v>2839</v>
      </c>
      <c r="H214" s="1776" t="s">
        <v>22</v>
      </c>
      <c r="I214" s="1776" t="s">
        <v>896</v>
      </c>
    </row>
    <row r="215" spans="1:9" ht="11.25" customHeight="1">
      <c r="A215" s="1776" t="s">
        <v>2248</v>
      </c>
      <c r="B215" s="1776" t="s">
        <v>16</v>
      </c>
      <c r="C215" s="1776" t="s">
        <v>2840</v>
      </c>
      <c r="D215" s="1776" t="s">
        <v>2841</v>
      </c>
      <c r="E215" s="1776" t="s">
        <v>2842</v>
      </c>
      <c r="F215" s="1776" t="s">
        <v>2345</v>
      </c>
      <c r="G215" s="1776" t="s">
        <v>22</v>
      </c>
      <c r="H215" s="1776" t="s">
        <v>22</v>
      </c>
      <c r="I215" s="1776" t="s">
        <v>896</v>
      </c>
    </row>
    <row r="216" spans="1:9" ht="11.25" customHeight="1">
      <c r="A216" s="1776" t="s">
        <v>2248</v>
      </c>
      <c r="B216" s="1776" t="s">
        <v>16</v>
      </c>
      <c r="C216" s="1776" t="s">
        <v>2843</v>
      </c>
      <c r="D216" s="1776" t="s">
        <v>2844</v>
      </c>
      <c r="E216" s="1776" t="s">
        <v>2845</v>
      </c>
      <c r="F216" s="1776" t="s">
        <v>2619</v>
      </c>
      <c r="G216" s="1776" t="s">
        <v>2846</v>
      </c>
      <c r="H216" s="1776" t="s">
        <v>22</v>
      </c>
      <c r="I216" s="1776" t="s">
        <v>896</v>
      </c>
    </row>
    <row r="217" spans="1:9" ht="11.25" customHeight="1">
      <c r="A217" s="1776" t="s">
        <v>2248</v>
      </c>
      <c r="B217" s="1776" t="s">
        <v>16</v>
      </c>
      <c r="C217" s="1776" t="s">
        <v>2847</v>
      </c>
      <c r="D217" s="1776" t="s">
        <v>2848</v>
      </c>
      <c r="E217" s="1776" t="s">
        <v>2849</v>
      </c>
      <c r="F217" s="1776" t="s">
        <v>2850</v>
      </c>
      <c r="G217" s="1776" t="s">
        <v>22</v>
      </c>
      <c r="H217" s="1776" t="s">
        <v>22</v>
      </c>
      <c r="I217" s="1776" t="s">
        <v>896</v>
      </c>
    </row>
    <row r="218" spans="1:9" ht="11.25" customHeight="1">
      <c r="A218" s="1776" t="s">
        <v>2248</v>
      </c>
      <c r="B218" s="1776" t="s">
        <v>16</v>
      </c>
      <c r="C218" s="1776" t="s">
        <v>2859</v>
      </c>
      <c r="D218" s="1776" t="s">
        <v>2860</v>
      </c>
      <c r="E218" s="1776" t="s">
        <v>2861</v>
      </c>
      <c r="F218" s="1776" t="s">
        <v>2619</v>
      </c>
      <c r="G218" s="1776" t="s">
        <v>22</v>
      </c>
      <c r="H218" s="1776" t="s">
        <v>22</v>
      </c>
      <c r="I218" s="1776" t="s">
        <v>896</v>
      </c>
    </row>
    <row r="219" spans="1:9" ht="11.25" customHeight="1">
      <c r="A219" s="1776" t="s">
        <v>2248</v>
      </c>
      <c r="B219" s="1776" t="s">
        <v>16</v>
      </c>
      <c r="C219" s="1776" t="s">
        <v>2866</v>
      </c>
      <c r="D219" s="1776" t="s">
        <v>2867</v>
      </c>
      <c r="E219" s="1776" t="s">
        <v>2868</v>
      </c>
      <c r="F219" s="1776" t="s">
        <v>2869</v>
      </c>
      <c r="G219" s="1776" t="s">
        <v>2870</v>
      </c>
      <c r="H219" s="1776" t="s">
        <v>22</v>
      </c>
      <c r="I219" s="1776" t="s">
        <v>896</v>
      </c>
    </row>
    <row r="220" spans="1:9" ht="11.25" customHeight="1">
      <c r="A220" s="1776" t="s">
        <v>2248</v>
      </c>
      <c r="B220" s="1776" t="s">
        <v>16</v>
      </c>
      <c r="C220" s="1776" t="s">
        <v>2893</v>
      </c>
      <c r="D220" s="1776" t="s">
        <v>2894</v>
      </c>
      <c r="E220" s="1776" t="s">
        <v>2895</v>
      </c>
      <c r="F220" s="1776" t="s">
        <v>2896</v>
      </c>
      <c r="G220" s="1776" t="s">
        <v>22</v>
      </c>
      <c r="H220" s="1776" t="s">
        <v>22</v>
      </c>
      <c r="I220" s="1776" t="s">
        <v>896</v>
      </c>
    </row>
    <row r="221" spans="1:9" ht="11.25" customHeight="1">
      <c r="A221" s="1776" t="s">
        <v>2248</v>
      </c>
      <c r="B221" s="1776" t="s">
        <v>16</v>
      </c>
      <c r="C221" s="1776" t="s">
        <v>2901</v>
      </c>
      <c r="D221" s="1776" t="s">
        <v>2902</v>
      </c>
      <c r="E221" s="1776" t="s">
        <v>2903</v>
      </c>
      <c r="F221" s="1776" t="s">
        <v>2904</v>
      </c>
      <c r="G221" s="1776" t="s">
        <v>2905</v>
      </c>
      <c r="H221" s="1776" t="s">
        <v>22</v>
      </c>
      <c r="I221" s="1776" t="s">
        <v>896</v>
      </c>
    </row>
    <row r="222" spans="1:9" ht="11.25" customHeight="1">
      <c r="A222" s="1776" t="s">
        <v>2248</v>
      </c>
      <c r="B222" s="1776" t="s">
        <v>16</v>
      </c>
      <c r="C222" s="1776" t="s">
        <v>2909</v>
      </c>
      <c r="D222" s="1776" t="s">
        <v>2910</v>
      </c>
      <c r="E222" s="1776" t="s">
        <v>2911</v>
      </c>
      <c r="F222" s="1776" t="s">
        <v>2912</v>
      </c>
      <c r="G222" s="1776" t="s">
        <v>2913</v>
      </c>
      <c r="H222" s="1776" t="s">
        <v>22</v>
      </c>
      <c r="I222" s="1776" t="s">
        <v>896</v>
      </c>
    </row>
    <row r="223" spans="1:9" ht="11.25" customHeight="1">
      <c r="A223" s="1776" t="s">
        <v>2248</v>
      </c>
      <c r="B223" s="1776" t="s">
        <v>16</v>
      </c>
      <c r="C223" s="1776" t="s">
        <v>2926</v>
      </c>
      <c r="D223" s="1776" t="s">
        <v>2927</v>
      </c>
      <c r="E223" s="1776" t="s">
        <v>2928</v>
      </c>
      <c r="F223" s="1776" t="s">
        <v>2643</v>
      </c>
      <c r="G223" s="1776" t="s">
        <v>2929</v>
      </c>
      <c r="H223" s="1776" t="s">
        <v>22</v>
      </c>
      <c r="I223" s="1776" t="s">
        <v>856</v>
      </c>
    </row>
    <row r="224" spans="1:9" ht="11.25" customHeight="1">
      <c r="A224" s="1776" t="s">
        <v>2248</v>
      </c>
      <c r="B224" s="1776" t="s">
        <v>16</v>
      </c>
      <c r="C224" s="1776" t="s">
        <v>2249</v>
      </c>
      <c r="D224" s="1776" t="s">
        <v>2250</v>
      </c>
      <c r="E224" s="1776" t="s">
        <v>2251</v>
      </c>
      <c r="F224" s="1776" t="s">
        <v>2252</v>
      </c>
      <c r="G224" s="1776" t="s">
        <v>22</v>
      </c>
      <c r="H224" s="1776" t="s">
        <v>22</v>
      </c>
      <c r="I224" s="1776" t="s">
        <v>856</v>
      </c>
    </row>
    <row r="225" spans="1:9" ht="11.25" customHeight="1">
      <c r="A225" s="1776" t="s">
        <v>2248</v>
      </c>
      <c r="B225" s="1776" t="s">
        <v>16</v>
      </c>
      <c r="C225" s="1776" t="s">
        <v>2253</v>
      </c>
      <c r="D225" s="1776" t="s">
        <v>2254</v>
      </c>
      <c r="E225" s="1776" t="s">
        <v>2255</v>
      </c>
      <c r="F225" s="1776" t="s">
        <v>2256</v>
      </c>
      <c r="G225" s="1776" t="s">
        <v>2257</v>
      </c>
      <c r="H225" s="1776" t="s">
        <v>22</v>
      </c>
      <c r="I225" s="1776" t="s">
        <v>856</v>
      </c>
    </row>
    <row r="226" spans="1:9" ht="11.25" customHeight="1">
      <c r="A226" s="1776" t="s">
        <v>2248</v>
      </c>
      <c r="B226" s="1776" t="s">
        <v>16</v>
      </c>
      <c r="C226" s="1776" t="s">
        <v>2261</v>
      </c>
      <c r="D226" s="1776" t="s">
        <v>2262</v>
      </c>
      <c r="E226" s="1776" t="s">
        <v>2263</v>
      </c>
      <c r="F226" s="1776" t="s">
        <v>2264</v>
      </c>
      <c r="G226" s="1776" t="s">
        <v>22</v>
      </c>
      <c r="H226" s="1776" t="s">
        <v>22</v>
      </c>
      <c r="I226" s="1776" t="s">
        <v>856</v>
      </c>
    </row>
    <row r="227" spans="1:9" ht="11.25" customHeight="1">
      <c r="A227" s="1776" t="s">
        <v>2248</v>
      </c>
      <c r="B227" s="1776" t="s">
        <v>16</v>
      </c>
      <c r="C227" s="1776" t="s">
        <v>2273</v>
      </c>
      <c r="D227" s="1776" t="s">
        <v>2274</v>
      </c>
      <c r="E227" s="1776" t="s">
        <v>2275</v>
      </c>
      <c r="F227" s="1776" t="s">
        <v>2276</v>
      </c>
      <c r="G227" s="1776" t="s">
        <v>2277</v>
      </c>
      <c r="H227" s="1776" t="s">
        <v>22</v>
      </c>
      <c r="I227" s="1776" t="s">
        <v>856</v>
      </c>
    </row>
    <row r="228" spans="1:9" ht="11.25" customHeight="1">
      <c r="A228" s="1776" t="s">
        <v>2248</v>
      </c>
      <c r="B228" s="1776" t="s">
        <v>16</v>
      </c>
      <c r="C228" s="1776" t="s">
        <v>2930</v>
      </c>
      <c r="D228" s="1776" t="s">
        <v>2931</v>
      </c>
      <c r="E228" s="1776" t="s">
        <v>2932</v>
      </c>
      <c r="F228" s="1776" t="s">
        <v>2386</v>
      </c>
      <c r="G228" s="1776" t="s">
        <v>2933</v>
      </c>
      <c r="H228" s="1776" t="s">
        <v>22</v>
      </c>
      <c r="I228" s="1776" t="s">
        <v>856</v>
      </c>
    </row>
    <row r="229" spans="1:9" ht="11.25" customHeight="1">
      <c r="A229" s="1776" t="s">
        <v>2248</v>
      </c>
      <c r="B229" s="1776" t="s">
        <v>16</v>
      </c>
      <c r="C229" s="1776" t="s">
        <v>2292</v>
      </c>
      <c r="D229" s="1776" t="s">
        <v>2293</v>
      </c>
      <c r="E229" s="1776" t="s">
        <v>2294</v>
      </c>
      <c r="F229" s="1776" t="s">
        <v>2295</v>
      </c>
      <c r="G229" s="1776" t="s">
        <v>22</v>
      </c>
      <c r="H229" s="1776" t="s">
        <v>22</v>
      </c>
      <c r="I229" s="1776" t="s">
        <v>856</v>
      </c>
    </row>
    <row r="230" spans="1:9" ht="11.25" customHeight="1">
      <c r="A230" s="1776" t="s">
        <v>2248</v>
      </c>
      <c r="B230" s="1776" t="s">
        <v>16</v>
      </c>
      <c r="C230" s="1776" t="s">
        <v>2934</v>
      </c>
      <c r="D230" s="1776" t="s">
        <v>2935</v>
      </c>
      <c r="E230" s="1776" t="s">
        <v>2936</v>
      </c>
      <c r="F230" s="1776" t="s">
        <v>51</v>
      </c>
      <c r="G230" s="1776" t="s">
        <v>22</v>
      </c>
      <c r="H230" s="1776" t="s">
        <v>22</v>
      </c>
      <c r="I230" s="1776" t="s">
        <v>856</v>
      </c>
    </row>
    <row r="231" spans="1:9" ht="11.25" customHeight="1">
      <c r="A231" s="1776" t="s">
        <v>2248</v>
      </c>
      <c r="B231" s="1776" t="s">
        <v>16</v>
      </c>
      <c r="C231" s="1776" t="s">
        <v>2296</v>
      </c>
      <c r="D231" s="1776" t="s">
        <v>2297</v>
      </c>
      <c r="E231" s="1776" t="s">
        <v>2298</v>
      </c>
      <c r="F231" s="1776" t="s">
        <v>2299</v>
      </c>
      <c r="G231" s="1776" t="s">
        <v>2300</v>
      </c>
      <c r="H231" s="1776" t="s">
        <v>22</v>
      </c>
      <c r="I231" s="1776" t="s">
        <v>856</v>
      </c>
    </row>
    <row r="232" spans="1:9" ht="11.25" customHeight="1">
      <c r="A232" s="1776" t="s">
        <v>2248</v>
      </c>
      <c r="B232" s="1776" t="s">
        <v>16</v>
      </c>
      <c r="C232" s="1776" t="s">
        <v>2301</v>
      </c>
      <c r="D232" s="1776" t="s">
        <v>2302</v>
      </c>
      <c r="E232" s="1776" t="s">
        <v>2303</v>
      </c>
      <c r="F232" s="1776" t="s">
        <v>2252</v>
      </c>
      <c r="G232" s="1776" t="s">
        <v>2304</v>
      </c>
      <c r="H232" s="1776" t="s">
        <v>22</v>
      </c>
      <c r="I232" s="1776" t="s">
        <v>856</v>
      </c>
    </row>
    <row r="233" spans="1:9" ht="11.25" customHeight="1">
      <c r="A233" s="1776" t="s">
        <v>2248</v>
      </c>
      <c r="B233" s="1776" t="s">
        <v>16</v>
      </c>
      <c r="C233" s="1776" t="s">
        <v>2313</v>
      </c>
      <c r="D233" s="1776" t="s">
        <v>2314</v>
      </c>
      <c r="E233" s="1776" t="s">
        <v>2315</v>
      </c>
      <c r="F233" s="1776" t="s">
        <v>2316</v>
      </c>
      <c r="G233" s="1776" t="s">
        <v>2317</v>
      </c>
      <c r="H233" s="1776" t="s">
        <v>22</v>
      </c>
      <c r="I233" s="1776" t="s">
        <v>856</v>
      </c>
    </row>
    <row r="234" spans="1:9" ht="11.25" customHeight="1">
      <c r="A234" s="1776" t="s">
        <v>2248</v>
      </c>
      <c r="B234" s="1776" t="s">
        <v>16</v>
      </c>
      <c r="C234" s="1776" t="s">
        <v>2342</v>
      </c>
      <c r="D234" s="1776" t="s">
        <v>2343</v>
      </c>
      <c r="E234" s="1776" t="s">
        <v>2344</v>
      </c>
      <c r="F234" s="1776" t="s">
        <v>2345</v>
      </c>
      <c r="G234" s="1776" t="s">
        <v>2346</v>
      </c>
      <c r="H234" s="1776" t="s">
        <v>22</v>
      </c>
      <c r="I234" s="1776" t="s">
        <v>856</v>
      </c>
    </row>
    <row r="235" spans="1:9" ht="11.25" customHeight="1">
      <c r="A235" s="1776" t="s">
        <v>2248</v>
      </c>
      <c r="B235" s="1776" t="s">
        <v>16</v>
      </c>
      <c r="C235" s="1776" t="s">
        <v>22</v>
      </c>
      <c r="D235" s="1776" t="s">
        <v>2359</v>
      </c>
      <c r="E235" s="1776" t="s">
        <v>2360</v>
      </c>
      <c r="F235" s="1776" t="s">
        <v>2345</v>
      </c>
      <c r="G235" s="1776" t="s">
        <v>22</v>
      </c>
      <c r="H235" s="1776" t="s">
        <v>22</v>
      </c>
      <c r="I235" s="1776" t="s">
        <v>856</v>
      </c>
    </row>
    <row r="236" spans="1:9" ht="11.25" customHeight="1">
      <c r="A236" s="1776" t="s">
        <v>2248</v>
      </c>
      <c r="B236" s="1776" t="s">
        <v>16</v>
      </c>
      <c r="C236" s="1776" t="s">
        <v>2937</v>
      </c>
      <c r="D236" s="1776" t="s">
        <v>2938</v>
      </c>
      <c r="E236" s="1776" t="s">
        <v>2939</v>
      </c>
      <c r="F236" s="1776" t="s">
        <v>2506</v>
      </c>
      <c r="G236" s="1776" t="s">
        <v>2940</v>
      </c>
      <c r="H236" s="1776" t="s">
        <v>22</v>
      </c>
      <c r="I236" s="1776" t="s">
        <v>856</v>
      </c>
    </row>
    <row r="237" spans="1:9" ht="11.25" customHeight="1">
      <c r="A237" s="1776" t="s">
        <v>2248</v>
      </c>
      <c r="B237" s="1776" t="s">
        <v>16</v>
      </c>
      <c r="C237" s="1776" t="s">
        <v>2941</v>
      </c>
      <c r="D237" s="1776" t="s">
        <v>2942</v>
      </c>
      <c r="E237" s="1776" t="s">
        <v>2943</v>
      </c>
      <c r="F237" s="1776" t="s">
        <v>2439</v>
      </c>
      <c r="G237" s="1776" t="s">
        <v>2944</v>
      </c>
      <c r="H237" s="1776" t="s">
        <v>22</v>
      </c>
      <c r="I237" s="1776" t="s">
        <v>856</v>
      </c>
    </row>
    <row r="238" spans="1:9" ht="11.25" customHeight="1">
      <c r="A238" s="1776" t="s">
        <v>2248</v>
      </c>
      <c r="B238" s="1776" t="s">
        <v>16</v>
      </c>
      <c r="C238" s="1776" t="s">
        <v>2361</v>
      </c>
      <c r="D238" s="1776" t="s">
        <v>2362</v>
      </c>
      <c r="E238" s="1776" t="s">
        <v>2363</v>
      </c>
      <c r="F238" s="1776" t="s">
        <v>2364</v>
      </c>
      <c r="G238" s="1776" t="s">
        <v>2365</v>
      </c>
      <c r="H238" s="1776" t="s">
        <v>22</v>
      </c>
      <c r="I238" s="1776" t="s">
        <v>856</v>
      </c>
    </row>
    <row r="239" spans="1:9" ht="11.25" customHeight="1">
      <c r="A239" s="1776" t="s">
        <v>2248</v>
      </c>
      <c r="B239" s="1776" t="s">
        <v>16</v>
      </c>
      <c r="C239" s="1776" t="s">
        <v>2945</v>
      </c>
      <c r="D239" s="1776" t="s">
        <v>2946</v>
      </c>
      <c r="E239" s="1776" t="s">
        <v>2947</v>
      </c>
      <c r="F239" s="1776" t="s">
        <v>2316</v>
      </c>
      <c r="G239" s="1776" t="s">
        <v>2948</v>
      </c>
      <c r="H239" s="1776" t="s">
        <v>22</v>
      </c>
      <c r="I239" s="1776" t="s">
        <v>856</v>
      </c>
    </row>
    <row r="240" spans="1:9" ht="11.25" customHeight="1">
      <c r="A240" s="1776" t="s">
        <v>2248</v>
      </c>
      <c r="B240" s="1776" t="s">
        <v>16</v>
      </c>
      <c r="C240" s="1776" t="s">
        <v>2949</v>
      </c>
      <c r="D240" s="1776" t="s">
        <v>2950</v>
      </c>
      <c r="E240" s="1776" t="s">
        <v>2951</v>
      </c>
      <c r="F240" s="1776" t="s">
        <v>2553</v>
      </c>
      <c r="G240" s="1776" t="s">
        <v>22</v>
      </c>
      <c r="H240" s="1776" t="s">
        <v>22</v>
      </c>
      <c r="I240" s="1776" t="s">
        <v>856</v>
      </c>
    </row>
    <row r="241" spans="1:9" ht="11.25" customHeight="1">
      <c r="A241" s="1776" t="s">
        <v>2248</v>
      </c>
      <c r="B241" s="1776" t="s">
        <v>16</v>
      </c>
      <c r="C241" s="1776" t="s">
        <v>2952</v>
      </c>
      <c r="D241" s="1776" t="s">
        <v>2953</v>
      </c>
      <c r="E241" s="1776" t="s">
        <v>2954</v>
      </c>
      <c r="F241" s="1776" t="s">
        <v>2398</v>
      </c>
      <c r="G241" s="1776" t="s">
        <v>22</v>
      </c>
      <c r="H241" s="1776" t="s">
        <v>22</v>
      </c>
      <c r="I241" s="1776" t="s">
        <v>856</v>
      </c>
    </row>
    <row r="242" spans="1:9" ht="11.25" customHeight="1">
      <c r="A242" s="1776" t="s">
        <v>2248</v>
      </c>
      <c r="B242" s="1776" t="s">
        <v>16</v>
      </c>
      <c r="C242" s="1776" t="s">
        <v>2955</v>
      </c>
      <c r="D242" s="1776" t="s">
        <v>2956</v>
      </c>
      <c r="E242" s="1776" t="s">
        <v>2957</v>
      </c>
      <c r="F242" s="1776" t="s">
        <v>2364</v>
      </c>
      <c r="G242" s="1776" t="s">
        <v>22</v>
      </c>
      <c r="H242" s="1776" t="s">
        <v>22</v>
      </c>
      <c r="I242" s="1776" t="s">
        <v>856</v>
      </c>
    </row>
    <row r="243" spans="1:9" ht="11.25" customHeight="1">
      <c r="A243" s="1776" t="s">
        <v>2248</v>
      </c>
      <c r="B243" s="1776" t="s">
        <v>16</v>
      </c>
      <c r="C243" s="1776" t="s">
        <v>2958</v>
      </c>
      <c r="D243" s="1776" t="s">
        <v>2959</v>
      </c>
      <c r="E243" s="1776" t="s">
        <v>2960</v>
      </c>
      <c r="F243" s="1776" t="s">
        <v>2330</v>
      </c>
      <c r="G243" s="1776" t="s">
        <v>2961</v>
      </c>
      <c r="H243" s="1776" t="s">
        <v>22</v>
      </c>
      <c r="I243" s="1776" t="s">
        <v>856</v>
      </c>
    </row>
    <row r="244" spans="1:9" ht="11.25" customHeight="1">
      <c r="A244" s="1776" t="s">
        <v>2248</v>
      </c>
      <c r="B244" s="1776" t="s">
        <v>16</v>
      </c>
      <c r="C244" s="1776" t="s">
        <v>2962</v>
      </c>
      <c r="D244" s="1776" t="s">
        <v>2963</v>
      </c>
      <c r="E244" s="1776" t="s">
        <v>2964</v>
      </c>
      <c r="F244" s="1776" t="s">
        <v>2398</v>
      </c>
      <c r="G244" s="1776" t="s">
        <v>2965</v>
      </c>
      <c r="H244" s="1776" t="s">
        <v>22</v>
      </c>
      <c r="I244" s="1776" t="s">
        <v>856</v>
      </c>
    </row>
    <row r="245" spans="1:9" ht="11.25" customHeight="1">
      <c r="A245" s="1776" t="s">
        <v>2248</v>
      </c>
      <c r="B245" s="1776" t="s">
        <v>16</v>
      </c>
      <c r="C245" s="1776" t="s">
        <v>2966</v>
      </c>
      <c r="D245" s="1776" t="s">
        <v>2967</v>
      </c>
      <c r="E245" s="1776" t="s">
        <v>2968</v>
      </c>
      <c r="F245" s="1776" t="s">
        <v>2643</v>
      </c>
      <c r="G245" s="1776" t="s">
        <v>22</v>
      </c>
      <c r="H245" s="1776" t="s">
        <v>22</v>
      </c>
      <c r="I245" s="1776" t="s">
        <v>856</v>
      </c>
    </row>
    <row r="246" spans="1:9" ht="11.25" customHeight="1">
      <c r="A246" s="1776" t="s">
        <v>2248</v>
      </c>
      <c r="B246" s="1776" t="s">
        <v>16</v>
      </c>
      <c r="C246" s="1776" t="s">
        <v>2969</v>
      </c>
      <c r="D246" s="1776" t="s">
        <v>2970</v>
      </c>
      <c r="E246" s="1776" t="s">
        <v>2971</v>
      </c>
      <c r="F246" s="1776" t="s">
        <v>2444</v>
      </c>
      <c r="G246" s="1776" t="s">
        <v>22</v>
      </c>
      <c r="H246" s="1776" t="s">
        <v>22</v>
      </c>
      <c r="I246" s="1776" t="s">
        <v>856</v>
      </c>
    </row>
    <row r="247" spans="1:9" ht="11.25" customHeight="1">
      <c r="A247" s="1776" t="s">
        <v>2248</v>
      </c>
      <c r="B247" s="1776" t="s">
        <v>16</v>
      </c>
      <c r="C247" s="1776" t="s">
        <v>2972</v>
      </c>
      <c r="D247" s="1776" t="s">
        <v>2973</v>
      </c>
      <c r="E247" s="1776" t="s">
        <v>2974</v>
      </c>
      <c r="F247" s="1776" t="s">
        <v>2553</v>
      </c>
      <c r="G247" s="1776" t="s">
        <v>22</v>
      </c>
      <c r="H247" s="1776" t="s">
        <v>22</v>
      </c>
      <c r="I247" s="1776" t="s">
        <v>856</v>
      </c>
    </row>
    <row r="248" spans="1:9" ht="11.25" customHeight="1">
      <c r="A248" s="1776" t="s">
        <v>2248</v>
      </c>
      <c r="B248" s="1776" t="s">
        <v>16</v>
      </c>
      <c r="C248" s="1776" t="s">
        <v>2975</v>
      </c>
      <c r="D248" s="1776" t="s">
        <v>2976</v>
      </c>
      <c r="E248" s="1776" t="s">
        <v>2977</v>
      </c>
      <c r="F248" s="1776" t="s">
        <v>2386</v>
      </c>
      <c r="G248" s="1776" t="s">
        <v>2978</v>
      </c>
      <c r="H248" s="1776" t="s">
        <v>22</v>
      </c>
      <c r="I248" s="1776" t="s">
        <v>856</v>
      </c>
    </row>
    <row r="249" spans="1:9" ht="11.25" customHeight="1">
      <c r="A249" s="1776" t="s">
        <v>2248</v>
      </c>
      <c r="B249" s="1776" t="s">
        <v>16</v>
      </c>
      <c r="C249" s="1776" t="s">
        <v>2979</v>
      </c>
      <c r="D249" s="1776" t="s">
        <v>2980</v>
      </c>
      <c r="E249" s="1776" t="s">
        <v>2981</v>
      </c>
      <c r="F249" s="1776" t="s">
        <v>2398</v>
      </c>
      <c r="G249" s="1776" t="s">
        <v>2982</v>
      </c>
      <c r="H249" s="1776" t="s">
        <v>22</v>
      </c>
      <c r="I249" s="1776" t="s">
        <v>856</v>
      </c>
    </row>
    <row r="250" spans="1:9" ht="11.25" customHeight="1">
      <c r="A250" s="1776" t="s">
        <v>2248</v>
      </c>
      <c r="B250" s="1776" t="s">
        <v>16</v>
      </c>
      <c r="C250" s="1776" t="s">
        <v>2983</v>
      </c>
      <c r="D250" s="1776" t="s">
        <v>2984</v>
      </c>
      <c r="E250" s="1776" t="s">
        <v>2985</v>
      </c>
      <c r="F250" s="1776" t="s">
        <v>2653</v>
      </c>
      <c r="G250" s="1776" t="s">
        <v>2986</v>
      </c>
      <c r="H250" s="1776" t="s">
        <v>22</v>
      </c>
      <c r="I250" s="1776" t="s">
        <v>856</v>
      </c>
    </row>
    <row r="251" spans="1:9" ht="11.25" customHeight="1">
      <c r="A251" s="1776" t="s">
        <v>2248</v>
      </c>
      <c r="B251" s="1776" t="s">
        <v>16</v>
      </c>
      <c r="C251" s="1776" t="s">
        <v>2987</v>
      </c>
      <c r="D251" s="1776" t="s">
        <v>2988</v>
      </c>
      <c r="E251" s="1776" t="s">
        <v>2989</v>
      </c>
      <c r="F251" s="1776" t="s">
        <v>2653</v>
      </c>
      <c r="G251" s="1776" t="s">
        <v>2990</v>
      </c>
      <c r="H251" s="1776" t="s">
        <v>22</v>
      </c>
      <c r="I251" s="1776" t="s">
        <v>856</v>
      </c>
    </row>
    <row r="252" spans="1:9" ht="11.25" customHeight="1">
      <c r="A252" s="1776" t="s">
        <v>2248</v>
      </c>
      <c r="B252" s="1776" t="s">
        <v>16</v>
      </c>
      <c r="C252" s="1776" t="s">
        <v>2366</v>
      </c>
      <c r="D252" s="1776" t="s">
        <v>2367</v>
      </c>
      <c r="E252" s="1776" t="s">
        <v>2368</v>
      </c>
      <c r="F252" s="1776" t="s">
        <v>2369</v>
      </c>
      <c r="G252" s="1776" t="s">
        <v>2370</v>
      </c>
      <c r="H252" s="1776" t="s">
        <v>22</v>
      </c>
      <c r="I252" s="1776" t="s">
        <v>856</v>
      </c>
    </row>
    <row r="253" spans="1:9" ht="11.25" customHeight="1">
      <c r="A253" s="1776" t="s">
        <v>2248</v>
      </c>
      <c r="B253" s="1776" t="s">
        <v>16</v>
      </c>
      <c r="C253" s="1776" t="s">
        <v>2991</v>
      </c>
      <c r="D253" s="1776" t="s">
        <v>2992</v>
      </c>
      <c r="E253" s="1776" t="s">
        <v>2993</v>
      </c>
      <c r="F253" s="1776" t="s">
        <v>2515</v>
      </c>
      <c r="G253" s="1776" t="s">
        <v>22</v>
      </c>
      <c r="H253" s="1776" t="s">
        <v>22</v>
      </c>
      <c r="I253" s="1776" t="s">
        <v>856</v>
      </c>
    </row>
    <row r="254" spans="1:9" ht="11.25" customHeight="1">
      <c r="A254" s="1776" t="s">
        <v>2248</v>
      </c>
      <c r="B254" s="1776" t="s">
        <v>16</v>
      </c>
      <c r="C254" s="1776" t="s">
        <v>2994</v>
      </c>
      <c r="D254" s="1776" t="s">
        <v>2995</v>
      </c>
      <c r="E254" s="1776" t="s">
        <v>2996</v>
      </c>
      <c r="F254" s="1776" t="s">
        <v>2515</v>
      </c>
      <c r="G254" s="1776" t="s">
        <v>2997</v>
      </c>
      <c r="H254" s="1776" t="s">
        <v>22</v>
      </c>
      <c r="I254" s="1776" t="s">
        <v>856</v>
      </c>
    </row>
    <row r="255" spans="1:9" ht="11.25" customHeight="1">
      <c r="A255" s="1776" t="s">
        <v>2248</v>
      </c>
      <c r="B255" s="1776" t="s">
        <v>16</v>
      </c>
      <c r="C255" s="1776" t="s">
        <v>2998</v>
      </c>
      <c r="D255" s="1776" t="s">
        <v>2999</v>
      </c>
      <c r="E255" s="1776" t="s">
        <v>3000</v>
      </c>
      <c r="F255" s="1776" t="s">
        <v>2653</v>
      </c>
      <c r="G255" s="1776" t="s">
        <v>3001</v>
      </c>
      <c r="H255" s="1776" t="s">
        <v>22</v>
      </c>
      <c r="I255" s="1776" t="s">
        <v>856</v>
      </c>
    </row>
    <row r="256" spans="1:9" ht="11.25" customHeight="1">
      <c r="A256" s="1776" t="s">
        <v>2248</v>
      </c>
      <c r="B256" s="1776" t="s">
        <v>16</v>
      </c>
      <c r="C256" s="1776" t="s">
        <v>3002</v>
      </c>
      <c r="D256" s="1776" t="s">
        <v>3003</v>
      </c>
      <c r="E256" s="1776" t="s">
        <v>3004</v>
      </c>
      <c r="F256" s="1776" t="s">
        <v>2398</v>
      </c>
      <c r="G256" s="1776" t="s">
        <v>22</v>
      </c>
      <c r="H256" s="1776" t="s">
        <v>22</v>
      </c>
      <c r="I256" s="1776" t="s">
        <v>856</v>
      </c>
    </row>
    <row r="257" spans="1:9" ht="11.25" customHeight="1">
      <c r="A257" s="1776" t="s">
        <v>2248</v>
      </c>
      <c r="B257" s="1776" t="s">
        <v>16</v>
      </c>
      <c r="C257" s="1776" t="s">
        <v>3005</v>
      </c>
      <c r="D257" s="1776" t="s">
        <v>3006</v>
      </c>
      <c r="E257" s="1776" t="s">
        <v>3007</v>
      </c>
      <c r="F257" s="1776" t="s">
        <v>2386</v>
      </c>
      <c r="G257" s="1776" t="s">
        <v>22</v>
      </c>
      <c r="H257" s="1776" t="s">
        <v>22</v>
      </c>
      <c r="I257" s="1776" t="s">
        <v>856</v>
      </c>
    </row>
    <row r="258" spans="1:9" ht="11.25" customHeight="1">
      <c r="A258" s="1776" t="s">
        <v>2248</v>
      </c>
      <c r="B258" s="1776" t="s">
        <v>16</v>
      </c>
      <c r="C258" s="1776" t="s">
        <v>3008</v>
      </c>
      <c r="D258" s="1776" t="s">
        <v>3009</v>
      </c>
      <c r="E258" s="1776" t="s">
        <v>3010</v>
      </c>
      <c r="F258" s="1776" t="s">
        <v>2386</v>
      </c>
      <c r="G258" s="1776" t="s">
        <v>22</v>
      </c>
      <c r="H258" s="1776" t="s">
        <v>22</v>
      </c>
      <c r="I258" s="1776" t="s">
        <v>856</v>
      </c>
    </row>
    <row r="259" spans="1:9" ht="11.25" customHeight="1">
      <c r="A259" s="1776" t="s">
        <v>2248</v>
      </c>
      <c r="B259" s="1776" t="s">
        <v>16</v>
      </c>
      <c r="C259" s="1776" t="s">
        <v>3011</v>
      </c>
      <c r="D259" s="1776" t="s">
        <v>3012</v>
      </c>
      <c r="E259" s="1776" t="s">
        <v>3013</v>
      </c>
      <c r="F259" s="1776" t="s">
        <v>2398</v>
      </c>
      <c r="G259" s="1776" t="s">
        <v>3014</v>
      </c>
      <c r="H259" s="1776" t="s">
        <v>22</v>
      </c>
      <c r="I259" s="1776" t="s">
        <v>856</v>
      </c>
    </row>
    <row r="260" spans="1:9" ht="11.25" customHeight="1">
      <c r="A260" s="1776" t="s">
        <v>2248</v>
      </c>
      <c r="B260" s="1776" t="s">
        <v>16</v>
      </c>
      <c r="C260" s="1776" t="s">
        <v>3015</v>
      </c>
      <c r="D260" s="1776" t="s">
        <v>3016</v>
      </c>
      <c r="E260" s="1776" t="s">
        <v>3017</v>
      </c>
      <c r="F260" s="1776" t="s">
        <v>2653</v>
      </c>
      <c r="G260" s="1776" t="s">
        <v>3018</v>
      </c>
      <c r="H260" s="1776" t="s">
        <v>3019</v>
      </c>
      <c r="I260" s="1776" t="s">
        <v>856</v>
      </c>
    </row>
    <row r="261" spans="1:9" ht="11.25" customHeight="1">
      <c r="A261" s="1776" t="s">
        <v>2248</v>
      </c>
      <c r="B261" s="1776" t="s">
        <v>16</v>
      </c>
      <c r="C261" s="1776" t="s">
        <v>3020</v>
      </c>
      <c r="D261" s="1776" t="s">
        <v>3021</v>
      </c>
      <c r="E261" s="1776" t="s">
        <v>3022</v>
      </c>
      <c r="F261" s="1776" t="s">
        <v>2386</v>
      </c>
      <c r="G261" s="1776" t="s">
        <v>3023</v>
      </c>
      <c r="H261" s="1776" t="s">
        <v>22</v>
      </c>
      <c r="I261" s="1776" t="s">
        <v>856</v>
      </c>
    </row>
    <row r="262" spans="1:9" ht="11.25" customHeight="1">
      <c r="A262" s="1776" t="s">
        <v>2248</v>
      </c>
      <c r="B262" s="1776" t="s">
        <v>16</v>
      </c>
      <c r="C262" s="1776" t="s">
        <v>3024</v>
      </c>
      <c r="D262" s="1776" t="s">
        <v>3025</v>
      </c>
      <c r="E262" s="1776" t="s">
        <v>3026</v>
      </c>
      <c r="F262" s="1776" t="s">
        <v>2386</v>
      </c>
      <c r="G262" s="1776" t="s">
        <v>22</v>
      </c>
      <c r="H262" s="1776" t="s">
        <v>22</v>
      </c>
      <c r="I262" s="1776" t="s">
        <v>856</v>
      </c>
    </row>
    <row r="263" spans="1:9" ht="11.25" customHeight="1">
      <c r="A263" s="1776" t="s">
        <v>2248</v>
      </c>
      <c r="B263" s="1776" t="s">
        <v>16</v>
      </c>
      <c r="C263" s="1776" t="s">
        <v>2371</v>
      </c>
      <c r="D263" s="1776" t="s">
        <v>2372</v>
      </c>
      <c r="E263" s="1776" t="s">
        <v>2373</v>
      </c>
      <c r="F263" s="1776" t="s">
        <v>2374</v>
      </c>
      <c r="G263" s="1776" t="s">
        <v>2375</v>
      </c>
      <c r="H263" s="1776" t="s">
        <v>22</v>
      </c>
      <c r="I263" s="1776" t="s">
        <v>856</v>
      </c>
    </row>
    <row r="264" spans="1:9" ht="11.25" customHeight="1">
      <c r="A264" s="1776" t="s">
        <v>2248</v>
      </c>
      <c r="B264" s="1776" t="s">
        <v>16</v>
      </c>
      <c r="C264" s="1776" t="s">
        <v>2376</v>
      </c>
      <c r="D264" s="1776" t="s">
        <v>2377</v>
      </c>
      <c r="E264" s="1776" t="s">
        <v>2373</v>
      </c>
      <c r="F264" s="1776" t="s">
        <v>2378</v>
      </c>
      <c r="G264" s="1776" t="s">
        <v>2375</v>
      </c>
      <c r="H264" s="1776" t="s">
        <v>22</v>
      </c>
      <c r="I264" s="1776" t="s">
        <v>856</v>
      </c>
    </row>
    <row r="265" spans="1:9" ht="11.25" customHeight="1">
      <c r="A265" s="1776" t="s">
        <v>2248</v>
      </c>
      <c r="B265" s="1776" t="s">
        <v>16</v>
      </c>
      <c r="C265" s="1776" t="s">
        <v>3027</v>
      </c>
      <c r="D265" s="1776" t="s">
        <v>3028</v>
      </c>
      <c r="E265" s="1776" t="s">
        <v>3029</v>
      </c>
      <c r="F265" s="1776" t="s">
        <v>2653</v>
      </c>
      <c r="G265" s="1776" t="s">
        <v>22</v>
      </c>
      <c r="H265" s="1776" t="s">
        <v>22</v>
      </c>
      <c r="I265" s="1776" t="s">
        <v>856</v>
      </c>
    </row>
    <row r="266" spans="1:9" ht="11.25" customHeight="1">
      <c r="A266" s="1776" t="s">
        <v>2248</v>
      </c>
      <c r="B266" s="1776" t="s">
        <v>16</v>
      </c>
      <c r="C266" s="1776" t="s">
        <v>3030</v>
      </c>
      <c r="D266" s="1776" t="s">
        <v>3031</v>
      </c>
      <c r="E266" s="1776" t="s">
        <v>3032</v>
      </c>
      <c r="F266" s="1776" t="s">
        <v>2386</v>
      </c>
      <c r="G266" s="1776" t="s">
        <v>22</v>
      </c>
      <c r="H266" s="1776" t="s">
        <v>22</v>
      </c>
      <c r="I266" s="1776" t="s">
        <v>856</v>
      </c>
    </row>
    <row r="267" spans="1:9" ht="11.25" customHeight="1">
      <c r="A267" s="1776" t="s">
        <v>2248</v>
      </c>
      <c r="B267" s="1776" t="s">
        <v>16</v>
      </c>
      <c r="C267" s="1776" t="s">
        <v>2379</v>
      </c>
      <c r="D267" s="1776" t="s">
        <v>2380</v>
      </c>
      <c r="E267" s="1776" t="s">
        <v>2381</v>
      </c>
      <c r="F267" s="1776" t="s">
        <v>2364</v>
      </c>
      <c r="G267" s="1776" t="s">
        <v>2382</v>
      </c>
      <c r="H267" s="1776" t="s">
        <v>22</v>
      </c>
      <c r="I267" s="1776" t="s">
        <v>856</v>
      </c>
    </row>
    <row r="268" spans="1:9" ht="11.25" customHeight="1">
      <c r="A268" s="1776" t="s">
        <v>2248</v>
      </c>
      <c r="B268" s="1776" t="s">
        <v>16</v>
      </c>
      <c r="C268" s="1776" t="s">
        <v>3033</v>
      </c>
      <c r="D268" s="1776" t="s">
        <v>3034</v>
      </c>
      <c r="E268" s="1776" t="s">
        <v>3035</v>
      </c>
      <c r="F268" s="1776" t="s">
        <v>2398</v>
      </c>
      <c r="G268" s="1776" t="s">
        <v>3036</v>
      </c>
      <c r="H268" s="1776" t="s">
        <v>22</v>
      </c>
      <c r="I268" s="1776" t="s">
        <v>856</v>
      </c>
    </row>
    <row r="269" spans="1:9" ht="11.25" customHeight="1">
      <c r="A269" s="1776" t="s">
        <v>2248</v>
      </c>
      <c r="B269" s="1776" t="s">
        <v>16</v>
      </c>
      <c r="C269" s="1776" t="s">
        <v>3037</v>
      </c>
      <c r="D269" s="1776" t="s">
        <v>3038</v>
      </c>
      <c r="E269" s="1776" t="s">
        <v>3039</v>
      </c>
      <c r="F269" s="1776" t="s">
        <v>2643</v>
      </c>
      <c r="G269" s="1776" t="s">
        <v>22</v>
      </c>
      <c r="H269" s="1776" t="s">
        <v>22</v>
      </c>
      <c r="I269" s="1776" t="s">
        <v>856</v>
      </c>
    </row>
    <row r="270" spans="1:9" ht="11.25" customHeight="1">
      <c r="A270" s="1776" t="s">
        <v>2248</v>
      </c>
      <c r="B270" s="1776" t="s">
        <v>16</v>
      </c>
      <c r="C270" s="1776" t="s">
        <v>3040</v>
      </c>
      <c r="D270" s="1776" t="s">
        <v>3041</v>
      </c>
      <c r="E270" s="1776" t="s">
        <v>3042</v>
      </c>
      <c r="F270" s="1776" t="s">
        <v>2653</v>
      </c>
      <c r="G270" s="1776" t="s">
        <v>22</v>
      </c>
      <c r="H270" s="1776" t="s">
        <v>22</v>
      </c>
      <c r="I270" s="1776" t="s">
        <v>856</v>
      </c>
    </row>
    <row r="271" spans="1:9" ht="11.25" customHeight="1">
      <c r="A271" s="1776" t="s">
        <v>2248</v>
      </c>
      <c r="B271" s="1776" t="s">
        <v>16</v>
      </c>
      <c r="C271" s="1776" t="s">
        <v>3043</v>
      </c>
      <c r="D271" s="1776" t="s">
        <v>3044</v>
      </c>
      <c r="E271" s="1776" t="s">
        <v>3045</v>
      </c>
      <c r="F271" s="1776" t="s">
        <v>2335</v>
      </c>
      <c r="G271" s="1776" t="s">
        <v>3046</v>
      </c>
      <c r="H271" s="1776" t="s">
        <v>22</v>
      </c>
      <c r="I271" s="1776" t="s">
        <v>856</v>
      </c>
    </row>
    <row r="272" spans="1:9" ht="11.25" customHeight="1">
      <c r="A272" s="1776" t="s">
        <v>2248</v>
      </c>
      <c r="B272" s="1776" t="s">
        <v>16</v>
      </c>
      <c r="C272" s="1776" t="s">
        <v>3047</v>
      </c>
      <c r="D272" s="1776" t="s">
        <v>3048</v>
      </c>
      <c r="E272" s="1776" t="s">
        <v>3049</v>
      </c>
      <c r="F272" s="1776" t="s">
        <v>2386</v>
      </c>
      <c r="G272" s="1776" t="s">
        <v>22</v>
      </c>
      <c r="H272" s="1776" t="s">
        <v>22</v>
      </c>
      <c r="I272" s="1776" t="s">
        <v>856</v>
      </c>
    </row>
    <row r="273" spans="1:9" ht="11.25" customHeight="1">
      <c r="A273" s="1776" t="s">
        <v>2248</v>
      </c>
      <c r="B273" s="1776" t="s">
        <v>16</v>
      </c>
      <c r="C273" s="1776" t="s">
        <v>2383</v>
      </c>
      <c r="D273" s="1776" t="s">
        <v>2384</v>
      </c>
      <c r="E273" s="1776" t="s">
        <v>2385</v>
      </c>
      <c r="F273" s="1776" t="s">
        <v>2386</v>
      </c>
      <c r="G273" s="1776" t="s">
        <v>2387</v>
      </c>
      <c r="H273" s="1776" t="s">
        <v>22</v>
      </c>
      <c r="I273" s="1776" t="s">
        <v>856</v>
      </c>
    </row>
    <row r="274" spans="1:9" ht="11.25" customHeight="1">
      <c r="A274" s="1776" t="s">
        <v>2248</v>
      </c>
      <c r="B274" s="1776" t="s">
        <v>16</v>
      </c>
      <c r="C274" s="1776" t="s">
        <v>2388</v>
      </c>
      <c r="D274" s="1776" t="s">
        <v>2389</v>
      </c>
      <c r="E274" s="1776" t="s">
        <v>2390</v>
      </c>
      <c r="F274" s="1776" t="s">
        <v>2374</v>
      </c>
      <c r="G274" s="1776" t="s">
        <v>2391</v>
      </c>
      <c r="H274" s="1776" t="s">
        <v>22</v>
      </c>
      <c r="I274" s="1776" t="s">
        <v>856</v>
      </c>
    </row>
    <row r="275" spans="1:9" ht="11.25" customHeight="1">
      <c r="A275" s="1776" t="s">
        <v>2248</v>
      </c>
      <c r="B275" s="1776" t="s">
        <v>16</v>
      </c>
      <c r="C275" s="1776" t="s">
        <v>3050</v>
      </c>
      <c r="D275" s="1776" t="s">
        <v>3051</v>
      </c>
      <c r="E275" s="1776" t="s">
        <v>3052</v>
      </c>
      <c r="F275" s="1776" t="s">
        <v>2653</v>
      </c>
      <c r="G275" s="1776" t="s">
        <v>22</v>
      </c>
      <c r="H275" s="1776" t="s">
        <v>22</v>
      </c>
      <c r="I275" s="1776" t="s">
        <v>856</v>
      </c>
    </row>
    <row r="276" spans="1:9" ht="11.25" customHeight="1">
      <c r="A276" s="1776" t="s">
        <v>2248</v>
      </c>
      <c r="B276" s="1776" t="s">
        <v>16</v>
      </c>
      <c r="C276" s="1776" t="s">
        <v>3053</v>
      </c>
      <c r="D276" s="1776" t="s">
        <v>3054</v>
      </c>
      <c r="E276" s="1776" t="s">
        <v>3055</v>
      </c>
      <c r="F276" s="1776" t="s">
        <v>2653</v>
      </c>
      <c r="G276" s="1776" t="s">
        <v>3056</v>
      </c>
      <c r="H276" s="1776" t="s">
        <v>22</v>
      </c>
      <c r="I276" s="1776" t="s">
        <v>856</v>
      </c>
    </row>
    <row r="277" spans="1:9" ht="11.25" customHeight="1">
      <c r="A277" s="1776" t="s">
        <v>2248</v>
      </c>
      <c r="B277" s="1776" t="s">
        <v>16</v>
      </c>
      <c r="C277" s="1776" t="s">
        <v>3057</v>
      </c>
      <c r="D277" s="1776" t="s">
        <v>3058</v>
      </c>
      <c r="E277" s="1776" t="s">
        <v>3059</v>
      </c>
      <c r="F277" s="1776" t="s">
        <v>2653</v>
      </c>
      <c r="G277" s="1776" t="s">
        <v>22</v>
      </c>
      <c r="H277" s="1776" t="s">
        <v>22</v>
      </c>
      <c r="I277" s="1776" t="s">
        <v>856</v>
      </c>
    </row>
    <row r="278" spans="1:9" ht="11.25" customHeight="1">
      <c r="A278" s="1776" t="s">
        <v>2248</v>
      </c>
      <c r="B278" s="1776" t="s">
        <v>16</v>
      </c>
      <c r="C278" s="1776" t="s">
        <v>3060</v>
      </c>
      <c r="D278" s="1776" t="s">
        <v>3061</v>
      </c>
      <c r="E278" s="1776" t="s">
        <v>3062</v>
      </c>
      <c r="F278" s="1776" t="s">
        <v>2653</v>
      </c>
      <c r="G278" s="1776" t="s">
        <v>3063</v>
      </c>
      <c r="H278" s="1776" t="s">
        <v>22</v>
      </c>
      <c r="I278" s="1776" t="s">
        <v>856</v>
      </c>
    </row>
    <row r="279" spans="1:9" ht="11.25" customHeight="1">
      <c r="A279" s="1776" t="s">
        <v>2248</v>
      </c>
      <c r="B279" s="1776" t="s">
        <v>16</v>
      </c>
      <c r="C279" s="1776" t="s">
        <v>3064</v>
      </c>
      <c r="D279" s="1776" t="s">
        <v>3065</v>
      </c>
      <c r="E279" s="1776" t="s">
        <v>3066</v>
      </c>
      <c r="F279" s="1776" t="s">
        <v>2653</v>
      </c>
      <c r="G279" s="1776" t="s">
        <v>22</v>
      </c>
      <c r="H279" s="1776" t="s">
        <v>22</v>
      </c>
      <c r="I279" s="1776" t="s">
        <v>856</v>
      </c>
    </row>
    <row r="280" spans="1:9" ht="11.25" customHeight="1">
      <c r="A280" s="1776" t="s">
        <v>2248</v>
      </c>
      <c r="B280" s="1776" t="s">
        <v>16</v>
      </c>
      <c r="C280" s="1776" t="s">
        <v>3067</v>
      </c>
      <c r="D280" s="1776" t="s">
        <v>3068</v>
      </c>
      <c r="E280" s="1776" t="s">
        <v>3069</v>
      </c>
      <c r="F280" s="1776" t="s">
        <v>2653</v>
      </c>
      <c r="G280" s="1776" t="s">
        <v>22</v>
      </c>
      <c r="H280" s="1776" t="s">
        <v>22</v>
      </c>
      <c r="I280" s="1776" t="s">
        <v>856</v>
      </c>
    </row>
    <row r="281" spans="1:9" ht="11.25" customHeight="1">
      <c r="A281" s="1776" t="s">
        <v>2248</v>
      </c>
      <c r="B281" s="1776" t="s">
        <v>16</v>
      </c>
      <c r="C281" s="1776" t="s">
        <v>3070</v>
      </c>
      <c r="D281" s="1776" t="s">
        <v>3068</v>
      </c>
      <c r="E281" s="1776" t="s">
        <v>3071</v>
      </c>
      <c r="F281" s="1776" t="s">
        <v>2653</v>
      </c>
      <c r="G281" s="1776" t="s">
        <v>22</v>
      </c>
      <c r="H281" s="1776" t="s">
        <v>22</v>
      </c>
      <c r="I281" s="1776" t="s">
        <v>856</v>
      </c>
    </row>
    <row r="282" spans="1:9" ht="11.25" customHeight="1">
      <c r="A282" s="1776" t="s">
        <v>2248</v>
      </c>
      <c r="B282" s="1776" t="s">
        <v>16</v>
      </c>
      <c r="C282" s="1776" t="s">
        <v>3072</v>
      </c>
      <c r="D282" s="1776" t="s">
        <v>3068</v>
      </c>
      <c r="E282" s="1776" t="s">
        <v>3073</v>
      </c>
      <c r="F282" s="1776" t="s">
        <v>2653</v>
      </c>
      <c r="G282" s="1776" t="s">
        <v>3074</v>
      </c>
      <c r="H282" s="1776" t="s">
        <v>22</v>
      </c>
      <c r="I282" s="1776" t="s">
        <v>856</v>
      </c>
    </row>
    <row r="283" spans="1:9" ht="11.25" customHeight="1">
      <c r="A283" s="1776" t="s">
        <v>2248</v>
      </c>
      <c r="B283" s="1776" t="s">
        <v>16</v>
      </c>
      <c r="C283" s="1776" t="s">
        <v>3075</v>
      </c>
      <c r="D283" s="1776" t="s">
        <v>3076</v>
      </c>
      <c r="E283" s="1776" t="s">
        <v>3077</v>
      </c>
      <c r="F283" s="1776" t="s">
        <v>2653</v>
      </c>
      <c r="G283" s="1776" t="s">
        <v>22</v>
      </c>
      <c r="H283" s="1776" t="s">
        <v>22</v>
      </c>
      <c r="I283" s="1776" t="s">
        <v>856</v>
      </c>
    </row>
    <row r="284" spans="1:9" ht="11.25" customHeight="1">
      <c r="A284" s="1776" t="s">
        <v>2248</v>
      </c>
      <c r="B284" s="1776" t="s">
        <v>16</v>
      </c>
      <c r="C284" s="1776" t="s">
        <v>3078</v>
      </c>
      <c r="D284" s="1776" t="s">
        <v>3079</v>
      </c>
      <c r="E284" s="1776" t="s">
        <v>3080</v>
      </c>
      <c r="F284" s="1776" t="s">
        <v>2398</v>
      </c>
      <c r="G284" s="1776" t="s">
        <v>22</v>
      </c>
      <c r="H284" s="1776" t="s">
        <v>3081</v>
      </c>
      <c r="I284" s="1776" t="s">
        <v>856</v>
      </c>
    </row>
    <row r="285" spans="1:9" ht="11.25" customHeight="1">
      <c r="A285" s="1776" t="s">
        <v>2248</v>
      </c>
      <c r="B285" s="1776" t="s">
        <v>16</v>
      </c>
      <c r="C285" s="1776" t="s">
        <v>3082</v>
      </c>
      <c r="D285" s="1776" t="s">
        <v>3083</v>
      </c>
      <c r="E285" s="1776" t="s">
        <v>3084</v>
      </c>
      <c r="F285" s="1776" t="s">
        <v>2444</v>
      </c>
      <c r="G285" s="1776" t="s">
        <v>22</v>
      </c>
      <c r="H285" s="1776" t="s">
        <v>3085</v>
      </c>
      <c r="I285" s="1776" t="s">
        <v>856</v>
      </c>
    </row>
    <row r="286" spans="1:9" ht="11.25" customHeight="1">
      <c r="A286" s="1776" t="s">
        <v>2248</v>
      </c>
      <c r="B286" s="1776" t="s">
        <v>16</v>
      </c>
      <c r="C286" s="1776" t="s">
        <v>3086</v>
      </c>
      <c r="D286" s="1776" t="s">
        <v>3087</v>
      </c>
      <c r="E286" s="1776" t="s">
        <v>3088</v>
      </c>
      <c r="F286" s="1776" t="s">
        <v>2398</v>
      </c>
      <c r="G286" s="1776" t="s">
        <v>3089</v>
      </c>
      <c r="H286" s="1776" t="s">
        <v>3090</v>
      </c>
      <c r="I286" s="1776" t="s">
        <v>856</v>
      </c>
    </row>
    <row r="287" spans="1:9" ht="11.25" customHeight="1">
      <c r="A287" s="1776" t="s">
        <v>2248</v>
      </c>
      <c r="B287" s="1776" t="s">
        <v>16</v>
      </c>
      <c r="C287" s="1776" t="s">
        <v>3091</v>
      </c>
      <c r="D287" s="1776" t="s">
        <v>3092</v>
      </c>
      <c r="E287" s="1776" t="s">
        <v>3093</v>
      </c>
      <c r="F287" s="1776" t="s">
        <v>2398</v>
      </c>
      <c r="G287" s="1776" t="s">
        <v>3094</v>
      </c>
      <c r="H287" s="1776" t="s">
        <v>3090</v>
      </c>
      <c r="I287" s="1776" t="s">
        <v>856</v>
      </c>
    </row>
    <row r="288" spans="1:9" ht="11.25" customHeight="1">
      <c r="A288" s="1776" t="s">
        <v>2248</v>
      </c>
      <c r="B288" s="1776" t="s">
        <v>16</v>
      </c>
      <c r="C288" s="1776" t="s">
        <v>3095</v>
      </c>
      <c r="D288" s="1776" t="s">
        <v>3096</v>
      </c>
      <c r="E288" s="1776" t="s">
        <v>3097</v>
      </c>
      <c r="F288" s="1776" t="s">
        <v>2398</v>
      </c>
      <c r="G288" s="1776" t="s">
        <v>22</v>
      </c>
      <c r="H288" s="1776" t="s">
        <v>3098</v>
      </c>
      <c r="I288" s="1776" t="s">
        <v>856</v>
      </c>
    </row>
    <row r="289" spans="1:9" ht="11.25" customHeight="1">
      <c r="A289" s="1776" t="s">
        <v>2248</v>
      </c>
      <c r="B289" s="1776" t="s">
        <v>16</v>
      </c>
      <c r="C289" s="1776" t="s">
        <v>3099</v>
      </c>
      <c r="D289" s="1776" t="s">
        <v>3100</v>
      </c>
      <c r="E289" s="1776" t="s">
        <v>3101</v>
      </c>
      <c r="F289" s="1776" t="s">
        <v>2398</v>
      </c>
      <c r="G289" s="1776" t="s">
        <v>22</v>
      </c>
      <c r="H289" s="1776" t="s">
        <v>3102</v>
      </c>
      <c r="I289" s="1776" t="s">
        <v>856</v>
      </c>
    </row>
    <row r="290" spans="1:9" ht="11.25" customHeight="1">
      <c r="A290" s="1776" t="s">
        <v>2248</v>
      </c>
      <c r="B290" s="1776" t="s">
        <v>16</v>
      </c>
      <c r="C290" s="1776" t="s">
        <v>3103</v>
      </c>
      <c r="D290" s="1776" t="s">
        <v>3104</v>
      </c>
      <c r="E290" s="1776" t="s">
        <v>3105</v>
      </c>
      <c r="F290" s="1776" t="s">
        <v>2398</v>
      </c>
      <c r="G290" s="1776" t="s">
        <v>3106</v>
      </c>
      <c r="H290" s="1776" t="s">
        <v>2446</v>
      </c>
      <c r="I290" s="1776" t="s">
        <v>856</v>
      </c>
    </row>
    <row r="291" spans="1:9" ht="11.25" customHeight="1">
      <c r="A291" s="1776" t="s">
        <v>2248</v>
      </c>
      <c r="B291" s="1776" t="s">
        <v>16</v>
      </c>
      <c r="C291" s="1776" t="s">
        <v>3107</v>
      </c>
      <c r="D291" s="1776" t="s">
        <v>3108</v>
      </c>
      <c r="E291" s="1776" t="s">
        <v>3109</v>
      </c>
      <c r="F291" s="1776" t="s">
        <v>2398</v>
      </c>
      <c r="G291" s="1776" t="s">
        <v>3110</v>
      </c>
      <c r="H291" s="1776" t="s">
        <v>22</v>
      </c>
      <c r="I291" s="1776" t="s">
        <v>856</v>
      </c>
    </row>
    <row r="292" spans="1:9" ht="11.25" customHeight="1">
      <c r="A292" s="1776" t="s">
        <v>2248</v>
      </c>
      <c r="B292" s="1776" t="s">
        <v>16</v>
      </c>
      <c r="C292" s="1776" t="s">
        <v>3111</v>
      </c>
      <c r="D292" s="1776" t="s">
        <v>3112</v>
      </c>
      <c r="E292" s="1776" t="s">
        <v>3113</v>
      </c>
      <c r="F292" s="1776" t="s">
        <v>2657</v>
      </c>
      <c r="G292" s="1776" t="s">
        <v>22</v>
      </c>
      <c r="H292" s="1776" t="s">
        <v>22</v>
      </c>
      <c r="I292" s="1776" t="s">
        <v>856</v>
      </c>
    </row>
    <row r="293" spans="1:9" ht="11.25" customHeight="1">
      <c r="A293" s="1776" t="s">
        <v>2248</v>
      </c>
      <c r="B293" s="1776" t="s">
        <v>16</v>
      </c>
      <c r="C293" s="1776" t="s">
        <v>3114</v>
      </c>
      <c r="D293" s="1776" t="s">
        <v>3115</v>
      </c>
      <c r="E293" s="1776" t="s">
        <v>3116</v>
      </c>
      <c r="F293" s="1776" t="s">
        <v>2657</v>
      </c>
      <c r="G293" s="1776" t="s">
        <v>3117</v>
      </c>
      <c r="H293" s="1776" t="s">
        <v>22</v>
      </c>
      <c r="I293" s="1776" t="s">
        <v>856</v>
      </c>
    </row>
    <row r="294" spans="1:9" ht="11.25" customHeight="1">
      <c r="A294" s="1776" t="s">
        <v>2248</v>
      </c>
      <c r="B294" s="1776" t="s">
        <v>16</v>
      </c>
      <c r="C294" s="1776" t="s">
        <v>3118</v>
      </c>
      <c r="D294" s="1776" t="s">
        <v>3119</v>
      </c>
      <c r="E294" s="1776" t="s">
        <v>3120</v>
      </c>
      <c r="F294" s="1776" t="s">
        <v>2412</v>
      </c>
      <c r="G294" s="1776" t="s">
        <v>22</v>
      </c>
      <c r="H294" s="1776" t="s">
        <v>22</v>
      </c>
      <c r="I294" s="1776" t="s">
        <v>856</v>
      </c>
    </row>
    <row r="295" spans="1:9" ht="11.25" customHeight="1">
      <c r="A295" s="1776" t="s">
        <v>2248</v>
      </c>
      <c r="B295" s="1776" t="s">
        <v>16</v>
      </c>
      <c r="C295" s="1776" t="s">
        <v>3121</v>
      </c>
      <c r="D295" s="1776" t="s">
        <v>3119</v>
      </c>
      <c r="E295" s="1776" t="s">
        <v>3122</v>
      </c>
      <c r="F295" s="1776" t="s">
        <v>2657</v>
      </c>
      <c r="G295" s="1776" t="s">
        <v>22</v>
      </c>
      <c r="H295" s="1776" t="s">
        <v>22</v>
      </c>
      <c r="I295" s="1776" t="s">
        <v>856</v>
      </c>
    </row>
    <row r="296" spans="1:9" ht="11.25" customHeight="1">
      <c r="A296" s="1776" t="s">
        <v>2248</v>
      </c>
      <c r="B296" s="1776" t="s">
        <v>16</v>
      </c>
      <c r="C296" s="1776" t="s">
        <v>3123</v>
      </c>
      <c r="D296" s="1776" t="s">
        <v>3124</v>
      </c>
      <c r="E296" s="1776" t="s">
        <v>3125</v>
      </c>
      <c r="F296" s="1776" t="s">
        <v>2515</v>
      </c>
      <c r="G296" s="1776" t="s">
        <v>3126</v>
      </c>
      <c r="H296" s="1776" t="s">
        <v>22</v>
      </c>
      <c r="I296" s="1776" t="s">
        <v>856</v>
      </c>
    </row>
    <row r="297" spans="1:9" ht="11.25" customHeight="1">
      <c r="A297" s="1776" t="s">
        <v>2248</v>
      </c>
      <c r="B297" s="1776" t="s">
        <v>16</v>
      </c>
      <c r="C297" s="1776" t="s">
        <v>3127</v>
      </c>
      <c r="D297" s="1776" t="s">
        <v>3128</v>
      </c>
      <c r="E297" s="1776" t="s">
        <v>3129</v>
      </c>
      <c r="F297" s="1776" t="s">
        <v>2653</v>
      </c>
      <c r="G297" s="1776" t="s">
        <v>22</v>
      </c>
      <c r="H297" s="1776" t="s">
        <v>22</v>
      </c>
      <c r="I297" s="1776" t="s">
        <v>856</v>
      </c>
    </row>
    <row r="298" spans="1:9" ht="11.25" customHeight="1">
      <c r="A298" s="1776" t="s">
        <v>2248</v>
      </c>
      <c r="B298" s="1776" t="s">
        <v>16</v>
      </c>
      <c r="C298" s="1776" t="s">
        <v>3130</v>
      </c>
      <c r="D298" s="1776" t="s">
        <v>3131</v>
      </c>
      <c r="E298" s="1776" t="s">
        <v>3132</v>
      </c>
      <c r="F298" s="1776" t="s">
        <v>2653</v>
      </c>
      <c r="G298" s="1776" t="s">
        <v>3133</v>
      </c>
      <c r="H298" s="1776" t="s">
        <v>22</v>
      </c>
      <c r="I298" s="1776" t="s">
        <v>856</v>
      </c>
    </row>
    <row r="299" spans="1:9" ht="11.25" customHeight="1">
      <c r="A299" s="1776" t="s">
        <v>2248</v>
      </c>
      <c r="B299" s="1776" t="s">
        <v>16</v>
      </c>
      <c r="C299" s="1776" t="s">
        <v>3134</v>
      </c>
      <c r="D299" s="1776" t="s">
        <v>3135</v>
      </c>
      <c r="E299" s="1776" t="s">
        <v>3136</v>
      </c>
      <c r="F299" s="1776" t="s">
        <v>2653</v>
      </c>
      <c r="G299" s="1776" t="s">
        <v>3137</v>
      </c>
      <c r="H299" s="1776" t="s">
        <v>22</v>
      </c>
      <c r="I299" s="1776" t="s">
        <v>856</v>
      </c>
    </row>
    <row r="300" spans="1:9" ht="11.25" customHeight="1">
      <c r="A300" s="1776" t="s">
        <v>2248</v>
      </c>
      <c r="B300" s="1776" t="s">
        <v>16</v>
      </c>
      <c r="C300" s="1776" t="s">
        <v>3138</v>
      </c>
      <c r="D300" s="1776" t="s">
        <v>3139</v>
      </c>
      <c r="E300" s="1776" t="s">
        <v>3140</v>
      </c>
      <c r="F300" s="1776" t="s">
        <v>2653</v>
      </c>
      <c r="G300" s="1776" t="s">
        <v>22</v>
      </c>
      <c r="H300" s="1776" t="s">
        <v>22</v>
      </c>
      <c r="I300" s="1776" t="s">
        <v>856</v>
      </c>
    </row>
    <row r="301" spans="1:9" ht="11.25" customHeight="1">
      <c r="A301" s="1776" t="s">
        <v>2248</v>
      </c>
      <c r="B301" s="1776" t="s">
        <v>16</v>
      </c>
      <c r="C301" s="1776" t="s">
        <v>3141</v>
      </c>
      <c r="D301" s="1776" t="s">
        <v>3142</v>
      </c>
      <c r="E301" s="1776" t="s">
        <v>3143</v>
      </c>
      <c r="F301" s="1776" t="s">
        <v>2398</v>
      </c>
      <c r="G301" s="1776" t="s">
        <v>3144</v>
      </c>
      <c r="H301" s="1776" t="s">
        <v>22</v>
      </c>
      <c r="I301" s="1776" t="s">
        <v>856</v>
      </c>
    </row>
    <row r="302" spans="1:9" ht="11.25" customHeight="1">
      <c r="A302" s="1776" t="s">
        <v>2248</v>
      </c>
      <c r="B302" s="1776" t="s">
        <v>16</v>
      </c>
      <c r="C302" s="1776" t="s">
        <v>3145</v>
      </c>
      <c r="D302" s="1776" t="s">
        <v>3146</v>
      </c>
      <c r="E302" s="1776" t="s">
        <v>3147</v>
      </c>
      <c r="F302" s="1776" t="s">
        <v>2398</v>
      </c>
      <c r="G302" s="1776" t="s">
        <v>3148</v>
      </c>
      <c r="H302" s="1776" t="s">
        <v>22</v>
      </c>
      <c r="I302" s="1776" t="s">
        <v>856</v>
      </c>
    </row>
    <row r="303" spans="1:9" ht="11.25" customHeight="1">
      <c r="A303" s="1776" t="s">
        <v>2248</v>
      </c>
      <c r="B303" s="1776" t="s">
        <v>16</v>
      </c>
      <c r="C303" s="1776" t="s">
        <v>3149</v>
      </c>
      <c r="D303" s="1776" t="s">
        <v>3150</v>
      </c>
      <c r="E303" s="1776" t="s">
        <v>3151</v>
      </c>
      <c r="F303" s="1776" t="s">
        <v>2547</v>
      </c>
      <c r="G303" s="1776" t="s">
        <v>22</v>
      </c>
      <c r="H303" s="1776" t="s">
        <v>22</v>
      </c>
      <c r="I303" s="1776" t="s">
        <v>856</v>
      </c>
    </row>
    <row r="304" spans="1:9" ht="11.25" customHeight="1">
      <c r="A304" s="1776" t="s">
        <v>2248</v>
      </c>
      <c r="B304" s="1776" t="s">
        <v>16</v>
      </c>
      <c r="C304" s="1776" t="s">
        <v>3152</v>
      </c>
      <c r="D304" s="1776" t="s">
        <v>3153</v>
      </c>
      <c r="E304" s="1776" t="s">
        <v>3154</v>
      </c>
      <c r="F304" s="1776" t="s">
        <v>2398</v>
      </c>
      <c r="G304" s="1776" t="s">
        <v>3155</v>
      </c>
      <c r="H304" s="1776" t="s">
        <v>22</v>
      </c>
      <c r="I304" s="1776" t="s">
        <v>856</v>
      </c>
    </row>
    <row r="305" spans="1:9" ht="11.25" customHeight="1">
      <c r="A305" s="1776" t="s">
        <v>2248</v>
      </c>
      <c r="B305" s="1776" t="s">
        <v>16</v>
      </c>
      <c r="C305" s="1776" t="s">
        <v>3156</v>
      </c>
      <c r="D305" s="1776" t="s">
        <v>3157</v>
      </c>
      <c r="E305" s="1776" t="s">
        <v>3158</v>
      </c>
      <c r="F305" s="1776" t="s">
        <v>2547</v>
      </c>
      <c r="G305" s="1776" t="s">
        <v>22</v>
      </c>
      <c r="H305" s="1776" t="s">
        <v>22</v>
      </c>
      <c r="I305" s="1776" t="s">
        <v>856</v>
      </c>
    </row>
    <row r="306" spans="1:9" ht="11.25" customHeight="1">
      <c r="A306" s="1776" t="s">
        <v>2248</v>
      </c>
      <c r="B306" s="1776" t="s">
        <v>16</v>
      </c>
      <c r="C306" s="1776" t="s">
        <v>3159</v>
      </c>
      <c r="D306" s="1776" t="s">
        <v>3160</v>
      </c>
      <c r="E306" s="1776" t="s">
        <v>3161</v>
      </c>
      <c r="F306" s="1776" t="s">
        <v>2547</v>
      </c>
      <c r="G306" s="1776" t="s">
        <v>3162</v>
      </c>
      <c r="H306" s="1776" t="s">
        <v>22</v>
      </c>
      <c r="I306" s="1776" t="s">
        <v>856</v>
      </c>
    </row>
    <row r="307" spans="1:9" ht="11.25" customHeight="1">
      <c r="A307" s="1776" t="s">
        <v>2248</v>
      </c>
      <c r="B307" s="1776" t="s">
        <v>16</v>
      </c>
      <c r="C307" s="1776" t="s">
        <v>3163</v>
      </c>
      <c r="D307" s="1776" t="s">
        <v>3164</v>
      </c>
      <c r="E307" s="1776" t="s">
        <v>3165</v>
      </c>
      <c r="F307" s="1776" t="s">
        <v>2398</v>
      </c>
      <c r="G307" s="1776" t="s">
        <v>22</v>
      </c>
      <c r="H307" s="1776" t="s">
        <v>22</v>
      </c>
      <c r="I307" s="1776" t="s">
        <v>856</v>
      </c>
    </row>
    <row r="308" spans="1:9" ht="11.25" customHeight="1">
      <c r="A308" s="1776" t="s">
        <v>2248</v>
      </c>
      <c r="B308" s="1776" t="s">
        <v>16</v>
      </c>
      <c r="C308" s="1776" t="s">
        <v>3166</v>
      </c>
      <c r="D308" s="1776" t="s">
        <v>3167</v>
      </c>
      <c r="E308" s="1776" t="s">
        <v>3168</v>
      </c>
      <c r="F308" s="1776" t="s">
        <v>2657</v>
      </c>
      <c r="G308" s="1776" t="s">
        <v>22</v>
      </c>
      <c r="H308" s="1776" t="s">
        <v>22</v>
      </c>
      <c r="I308" s="1776" t="s">
        <v>856</v>
      </c>
    </row>
    <row r="309" spans="1:9" ht="11.25" customHeight="1">
      <c r="A309" s="1776" t="s">
        <v>2248</v>
      </c>
      <c r="B309" s="1776" t="s">
        <v>16</v>
      </c>
      <c r="C309" s="1776" t="s">
        <v>3169</v>
      </c>
      <c r="D309" s="1776" t="s">
        <v>3170</v>
      </c>
      <c r="E309" s="1776" t="s">
        <v>3171</v>
      </c>
      <c r="F309" s="1776" t="s">
        <v>2398</v>
      </c>
      <c r="G309" s="1776" t="s">
        <v>3172</v>
      </c>
      <c r="H309" s="1776" t="s">
        <v>22</v>
      </c>
      <c r="I309" s="1776" t="s">
        <v>856</v>
      </c>
    </row>
    <row r="310" spans="1:9" ht="11.25" customHeight="1">
      <c r="A310" s="1776" t="s">
        <v>2248</v>
      </c>
      <c r="B310" s="1776" t="s">
        <v>16</v>
      </c>
      <c r="C310" s="1776" t="s">
        <v>3173</v>
      </c>
      <c r="D310" s="1776" t="s">
        <v>3174</v>
      </c>
      <c r="E310" s="1776" t="s">
        <v>3175</v>
      </c>
      <c r="F310" s="1776" t="s">
        <v>2547</v>
      </c>
      <c r="G310" s="1776" t="s">
        <v>3176</v>
      </c>
      <c r="H310" s="1776" t="s">
        <v>22</v>
      </c>
      <c r="I310" s="1776" t="s">
        <v>856</v>
      </c>
    </row>
    <row r="311" spans="1:9" ht="11.25" customHeight="1">
      <c r="A311" s="1776" t="s">
        <v>2248</v>
      </c>
      <c r="B311" s="1776" t="s">
        <v>16</v>
      </c>
      <c r="C311" s="1776" t="s">
        <v>3177</v>
      </c>
      <c r="D311" s="1776" t="s">
        <v>3178</v>
      </c>
      <c r="E311" s="1776" t="s">
        <v>3179</v>
      </c>
      <c r="F311" s="1776" t="s">
        <v>2398</v>
      </c>
      <c r="G311" s="1776" t="s">
        <v>3180</v>
      </c>
      <c r="H311" s="1776" t="s">
        <v>22</v>
      </c>
      <c r="I311" s="1776" t="s">
        <v>856</v>
      </c>
    </row>
    <row r="312" spans="1:9" ht="11.25" customHeight="1">
      <c r="A312" s="1776" t="s">
        <v>2248</v>
      </c>
      <c r="B312" s="1776" t="s">
        <v>16</v>
      </c>
      <c r="C312" s="1776" t="s">
        <v>3181</v>
      </c>
      <c r="D312" s="1776" t="s">
        <v>3182</v>
      </c>
      <c r="E312" s="1776" t="s">
        <v>3183</v>
      </c>
      <c r="F312" s="1776" t="s">
        <v>2547</v>
      </c>
      <c r="G312" s="1776" t="s">
        <v>3184</v>
      </c>
      <c r="H312" s="1776" t="s">
        <v>22</v>
      </c>
      <c r="I312" s="1776" t="s">
        <v>856</v>
      </c>
    </row>
    <row r="313" spans="1:9" ht="11.25" customHeight="1">
      <c r="A313" s="1776" t="s">
        <v>2248</v>
      </c>
      <c r="B313" s="1776" t="s">
        <v>16</v>
      </c>
      <c r="C313" s="1776" t="s">
        <v>3185</v>
      </c>
      <c r="D313" s="1776" t="s">
        <v>3186</v>
      </c>
      <c r="E313" s="1776" t="s">
        <v>3187</v>
      </c>
      <c r="F313" s="1776" t="s">
        <v>2398</v>
      </c>
      <c r="G313" s="1776" t="s">
        <v>3188</v>
      </c>
      <c r="H313" s="1776" t="s">
        <v>22</v>
      </c>
      <c r="I313" s="1776" t="s">
        <v>856</v>
      </c>
    </row>
    <row r="314" spans="1:9" ht="11.25" customHeight="1">
      <c r="A314" s="1776" t="s">
        <v>2248</v>
      </c>
      <c r="B314" s="1776" t="s">
        <v>16</v>
      </c>
      <c r="C314" s="1776" t="s">
        <v>3189</v>
      </c>
      <c r="D314" s="1776" t="s">
        <v>3190</v>
      </c>
      <c r="E314" s="1776" t="s">
        <v>3191</v>
      </c>
      <c r="F314" s="1776" t="s">
        <v>2350</v>
      </c>
      <c r="G314" s="1776" t="s">
        <v>3192</v>
      </c>
      <c r="H314" s="1776" t="s">
        <v>22</v>
      </c>
      <c r="I314" s="1776" t="s">
        <v>856</v>
      </c>
    </row>
    <row r="315" spans="1:9" ht="11.25" customHeight="1">
      <c r="A315" s="1776" t="s">
        <v>2248</v>
      </c>
      <c r="B315" s="1776" t="s">
        <v>16</v>
      </c>
      <c r="C315" s="1776" t="s">
        <v>2400</v>
      </c>
      <c r="D315" s="1776" t="s">
        <v>2401</v>
      </c>
      <c r="E315" s="1776" t="s">
        <v>2402</v>
      </c>
      <c r="F315" s="1776" t="s">
        <v>2398</v>
      </c>
      <c r="G315" s="1776" t="s">
        <v>2403</v>
      </c>
      <c r="H315" s="1776" t="s">
        <v>22</v>
      </c>
      <c r="I315" s="1776" t="s">
        <v>856</v>
      </c>
    </row>
    <row r="316" spans="1:9" ht="11.25" customHeight="1">
      <c r="A316" s="1776" t="s">
        <v>2248</v>
      </c>
      <c r="B316" s="1776" t="s">
        <v>16</v>
      </c>
      <c r="C316" s="1776" t="s">
        <v>3193</v>
      </c>
      <c r="D316" s="1776" t="s">
        <v>3194</v>
      </c>
      <c r="E316" s="1776" t="s">
        <v>3195</v>
      </c>
      <c r="F316" s="1776" t="s">
        <v>2398</v>
      </c>
      <c r="G316" s="1776" t="s">
        <v>3196</v>
      </c>
      <c r="H316" s="1776" t="s">
        <v>22</v>
      </c>
      <c r="I316" s="1776" t="s">
        <v>856</v>
      </c>
    </row>
    <row r="317" spans="1:9" ht="11.25" customHeight="1">
      <c r="A317" s="1776" t="s">
        <v>2248</v>
      </c>
      <c r="B317" s="1776" t="s">
        <v>16</v>
      </c>
      <c r="C317" s="1776" t="s">
        <v>3197</v>
      </c>
      <c r="D317" s="1776" t="s">
        <v>3198</v>
      </c>
      <c r="E317" s="1776" t="s">
        <v>3199</v>
      </c>
      <c r="F317" s="1776" t="s">
        <v>2398</v>
      </c>
      <c r="G317" s="1776" t="s">
        <v>22</v>
      </c>
      <c r="H317" s="1776" t="s">
        <v>22</v>
      </c>
      <c r="I317" s="1776" t="s">
        <v>856</v>
      </c>
    </row>
    <row r="318" spans="1:9" ht="11.25" customHeight="1">
      <c r="A318" s="1776" t="s">
        <v>2248</v>
      </c>
      <c r="B318" s="1776" t="s">
        <v>16</v>
      </c>
      <c r="C318" s="1776" t="s">
        <v>3200</v>
      </c>
      <c r="D318" s="1776" t="s">
        <v>3201</v>
      </c>
      <c r="E318" s="1776" t="s">
        <v>3202</v>
      </c>
      <c r="F318" s="1776" t="s">
        <v>2547</v>
      </c>
      <c r="G318" s="1776" t="s">
        <v>3203</v>
      </c>
      <c r="H318" s="1776" t="s">
        <v>22</v>
      </c>
      <c r="I318" s="1776" t="s">
        <v>856</v>
      </c>
    </row>
    <row r="319" spans="1:9" ht="11.25" customHeight="1">
      <c r="A319" s="1776" t="s">
        <v>2248</v>
      </c>
      <c r="B319" s="1776" t="s">
        <v>16</v>
      </c>
      <c r="C319" s="1776" t="s">
        <v>3204</v>
      </c>
      <c r="D319" s="1776" t="s">
        <v>3205</v>
      </c>
      <c r="E319" s="1776" t="s">
        <v>3206</v>
      </c>
      <c r="F319" s="1776" t="s">
        <v>2412</v>
      </c>
      <c r="G319" s="1776" t="s">
        <v>22</v>
      </c>
      <c r="H319" s="1776" t="s">
        <v>22</v>
      </c>
      <c r="I319" s="1776" t="s">
        <v>856</v>
      </c>
    </row>
    <row r="320" spans="1:9" ht="11.25" customHeight="1">
      <c r="A320" s="1776" t="s">
        <v>2248</v>
      </c>
      <c r="B320" s="1776" t="s">
        <v>16</v>
      </c>
      <c r="C320" s="1776" t="s">
        <v>3207</v>
      </c>
      <c r="D320" s="1776" t="s">
        <v>3208</v>
      </c>
      <c r="E320" s="1776" t="s">
        <v>3209</v>
      </c>
      <c r="F320" s="1776" t="s">
        <v>2596</v>
      </c>
      <c r="G320" s="1776" t="s">
        <v>22</v>
      </c>
      <c r="H320" s="1776" t="s">
        <v>22</v>
      </c>
      <c r="I320" s="1776" t="s">
        <v>856</v>
      </c>
    </row>
    <row r="321" spans="1:9" ht="11.25" customHeight="1">
      <c r="A321" s="1776" t="s">
        <v>2248</v>
      </c>
      <c r="B321" s="1776" t="s">
        <v>16</v>
      </c>
      <c r="C321" s="1776" t="s">
        <v>2404</v>
      </c>
      <c r="D321" s="1776" t="s">
        <v>2405</v>
      </c>
      <c r="E321" s="1776" t="s">
        <v>2406</v>
      </c>
      <c r="F321" s="1776" t="s">
        <v>2407</v>
      </c>
      <c r="G321" s="1776" t="s">
        <v>2408</v>
      </c>
      <c r="H321" s="1776" t="s">
        <v>22</v>
      </c>
      <c r="I321" s="1776" t="s">
        <v>856</v>
      </c>
    </row>
    <row r="322" spans="1:9" ht="11.25" customHeight="1">
      <c r="A322" s="1776" t="s">
        <v>2248</v>
      </c>
      <c r="B322" s="1776" t="s">
        <v>16</v>
      </c>
      <c r="C322" s="1776" t="s">
        <v>3210</v>
      </c>
      <c r="D322" s="1776" t="s">
        <v>3211</v>
      </c>
      <c r="E322" s="1776" t="s">
        <v>3212</v>
      </c>
      <c r="F322" s="1776" t="s">
        <v>2577</v>
      </c>
      <c r="G322" s="1776" t="s">
        <v>3213</v>
      </c>
      <c r="H322" s="1776" t="s">
        <v>22</v>
      </c>
      <c r="I322" s="1776" t="s">
        <v>856</v>
      </c>
    </row>
    <row r="323" spans="1:9" ht="11.25" customHeight="1">
      <c r="A323" s="1776" t="s">
        <v>2248</v>
      </c>
      <c r="B323" s="1776" t="s">
        <v>16</v>
      </c>
      <c r="C323" s="1776" t="s">
        <v>3214</v>
      </c>
      <c r="D323" s="1776" t="s">
        <v>3215</v>
      </c>
      <c r="E323" s="1776" t="s">
        <v>3216</v>
      </c>
      <c r="F323" s="1776" t="s">
        <v>2299</v>
      </c>
      <c r="G323" s="1776" t="s">
        <v>3217</v>
      </c>
      <c r="H323" s="1776" t="s">
        <v>22</v>
      </c>
      <c r="I323" s="1776" t="s">
        <v>856</v>
      </c>
    </row>
    <row r="324" spans="1:9" ht="11.25" customHeight="1">
      <c r="A324" s="1776" t="s">
        <v>2248</v>
      </c>
      <c r="B324" s="1776" t="s">
        <v>16</v>
      </c>
      <c r="C324" s="1776" t="s">
        <v>3218</v>
      </c>
      <c r="D324" s="1776" t="s">
        <v>3219</v>
      </c>
      <c r="E324" s="1776" t="s">
        <v>3220</v>
      </c>
      <c r="F324" s="1776" t="s">
        <v>2299</v>
      </c>
      <c r="G324" s="1776" t="s">
        <v>22</v>
      </c>
      <c r="H324" s="1776" t="s">
        <v>22</v>
      </c>
      <c r="I324" s="1776" t="s">
        <v>856</v>
      </c>
    </row>
    <row r="325" spans="1:9" ht="11.25" customHeight="1">
      <c r="A325" s="1776" t="s">
        <v>2248</v>
      </c>
      <c r="B325" s="1776" t="s">
        <v>16</v>
      </c>
      <c r="C325" s="1776" t="s">
        <v>3221</v>
      </c>
      <c r="D325" s="1776" t="s">
        <v>3222</v>
      </c>
      <c r="E325" s="1776" t="s">
        <v>3223</v>
      </c>
      <c r="F325" s="1776" t="s">
        <v>2316</v>
      </c>
      <c r="G325" s="1776" t="s">
        <v>3224</v>
      </c>
      <c r="H325" s="1776" t="s">
        <v>22</v>
      </c>
      <c r="I325" s="1776" t="s">
        <v>856</v>
      </c>
    </row>
    <row r="326" spans="1:9" ht="11.25" customHeight="1">
      <c r="A326" s="1776" t="s">
        <v>2248</v>
      </c>
      <c r="B326" s="1776" t="s">
        <v>16</v>
      </c>
      <c r="C326" s="1776" t="s">
        <v>3225</v>
      </c>
      <c r="D326" s="1776" t="s">
        <v>3226</v>
      </c>
      <c r="E326" s="1776" t="s">
        <v>3227</v>
      </c>
      <c r="F326" s="1776" t="s">
        <v>2425</v>
      </c>
      <c r="G326" s="1776" t="s">
        <v>3228</v>
      </c>
      <c r="H326" s="1776" t="s">
        <v>22</v>
      </c>
      <c r="I326" s="1776" t="s">
        <v>856</v>
      </c>
    </row>
    <row r="327" spans="1:9" ht="11.25" customHeight="1">
      <c r="A327" s="1776" t="s">
        <v>2248</v>
      </c>
      <c r="B327" s="1776" t="s">
        <v>16</v>
      </c>
      <c r="C327" s="1776" t="s">
        <v>3229</v>
      </c>
      <c r="D327" s="1776" t="s">
        <v>3226</v>
      </c>
      <c r="E327" s="1776" t="s">
        <v>3230</v>
      </c>
      <c r="F327" s="1776" t="s">
        <v>2299</v>
      </c>
      <c r="G327" s="1776" t="s">
        <v>3231</v>
      </c>
      <c r="H327" s="1776" t="s">
        <v>22</v>
      </c>
      <c r="I327" s="1776" t="s">
        <v>856</v>
      </c>
    </row>
    <row r="328" spans="1:9" ht="11.25" customHeight="1">
      <c r="A328" s="1776" t="s">
        <v>2248</v>
      </c>
      <c r="B328" s="1776" t="s">
        <v>16</v>
      </c>
      <c r="C328" s="1776" t="s">
        <v>3232</v>
      </c>
      <c r="D328" s="1776" t="s">
        <v>3233</v>
      </c>
      <c r="E328" s="1776" t="s">
        <v>3234</v>
      </c>
      <c r="F328" s="1776" t="s">
        <v>2364</v>
      </c>
      <c r="G328" s="1776" t="s">
        <v>22</v>
      </c>
      <c r="H328" s="1776" t="s">
        <v>22</v>
      </c>
      <c r="I328" s="1776" t="s">
        <v>856</v>
      </c>
    </row>
    <row r="329" spans="1:9" ht="11.25" customHeight="1">
      <c r="A329" s="1776" t="s">
        <v>2248</v>
      </c>
      <c r="B329" s="1776" t="s">
        <v>16</v>
      </c>
      <c r="C329" s="1776" t="s">
        <v>3235</v>
      </c>
      <c r="D329" s="1776" t="s">
        <v>3236</v>
      </c>
      <c r="E329" s="1776" t="s">
        <v>3237</v>
      </c>
      <c r="F329" s="1776" t="s">
        <v>2364</v>
      </c>
      <c r="G329" s="1776" t="s">
        <v>3238</v>
      </c>
      <c r="H329" s="1776" t="s">
        <v>22</v>
      </c>
      <c r="I329" s="1776" t="s">
        <v>856</v>
      </c>
    </row>
    <row r="330" spans="1:9" ht="11.25" customHeight="1">
      <c r="A330" s="1776" t="s">
        <v>2248</v>
      </c>
      <c r="B330" s="1776" t="s">
        <v>16</v>
      </c>
      <c r="C330" s="1776" t="s">
        <v>2409</v>
      </c>
      <c r="D330" s="1776" t="s">
        <v>2410</v>
      </c>
      <c r="E330" s="1776" t="s">
        <v>2411</v>
      </c>
      <c r="F330" s="1776" t="s">
        <v>2412</v>
      </c>
      <c r="G330" s="1776" t="s">
        <v>2413</v>
      </c>
      <c r="H330" s="1776" t="s">
        <v>22</v>
      </c>
      <c r="I330" s="1776" t="s">
        <v>856</v>
      </c>
    </row>
    <row r="331" spans="1:9" ht="11.25" customHeight="1">
      <c r="A331" s="1776" t="s">
        <v>2248</v>
      </c>
      <c r="B331" s="1776" t="s">
        <v>16</v>
      </c>
      <c r="C331" s="1776" t="s">
        <v>3239</v>
      </c>
      <c r="D331" s="1776" t="s">
        <v>3240</v>
      </c>
      <c r="E331" s="1776" t="s">
        <v>3241</v>
      </c>
      <c r="F331" s="1776" t="s">
        <v>2364</v>
      </c>
      <c r="G331" s="1776" t="s">
        <v>22</v>
      </c>
      <c r="H331" s="1776" t="s">
        <v>22</v>
      </c>
      <c r="I331" s="1776" t="s">
        <v>856</v>
      </c>
    </row>
    <row r="332" spans="1:9" ht="11.25" customHeight="1">
      <c r="A332" s="1776" t="s">
        <v>2248</v>
      </c>
      <c r="B332" s="1776" t="s">
        <v>16</v>
      </c>
      <c r="C332" s="1776" t="s">
        <v>2414</v>
      </c>
      <c r="D332" s="1776" t="s">
        <v>2415</v>
      </c>
      <c r="E332" s="1776" t="s">
        <v>2416</v>
      </c>
      <c r="F332" s="1776" t="s">
        <v>2412</v>
      </c>
      <c r="G332" s="1776" t="s">
        <v>2417</v>
      </c>
      <c r="H332" s="1776" t="s">
        <v>22</v>
      </c>
      <c r="I332" s="1776" t="s">
        <v>856</v>
      </c>
    </row>
    <row r="333" spans="1:9" ht="11.25" customHeight="1">
      <c r="A333" s="1776" t="s">
        <v>2248</v>
      </c>
      <c r="B333" s="1776" t="s">
        <v>16</v>
      </c>
      <c r="C333" s="1776" t="s">
        <v>2418</v>
      </c>
      <c r="D333" s="1776" t="s">
        <v>2419</v>
      </c>
      <c r="E333" s="1776" t="s">
        <v>2420</v>
      </c>
      <c r="F333" s="1776" t="s">
        <v>2374</v>
      </c>
      <c r="G333" s="1776" t="s">
        <v>2421</v>
      </c>
      <c r="H333" s="1776" t="s">
        <v>22</v>
      </c>
      <c r="I333" s="1776" t="s">
        <v>856</v>
      </c>
    </row>
    <row r="334" spans="1:9" ht="11.25" customHeight="1">
      <c r="A334" s="1776" t="s">
        <v>2248</v>
      </c>
      <c r="B334" s="1776" t="s">
        <v>16</v>
      </c>
      <c r="C334" s="1776" t="s">
        <v>3242</v>
      </c>
      <c r="D334" s="1776" t="s">
        <v>3243</v>
      </c>
      <c r="E334" s="1776" t="s">
        <v>3244</v>
      </c>
      <c r="F334" s="1776" t="s">
        <v>2364</v>
      </c>
      <c r="G334" s="1776" t="s">
        <v>22</v>
      </c>
      <c r="H334" s="1776" t="s">
        <v>22</v>
      </c>
      <c r="I334" s="1776" t="s">
        <v>856</v>
      </c>
    </row>
    <row r="335" spans="1:9" ht="11.25" customHeight="1">
      <c r="A335" s="1776" t="s">
        <v>2248</v>
      </c>
      <c r="B335" s="1776" t="s">
        <v>16</v>
      </c>
      <c r="C335" s="1776" t="s">
        <v>3245</v>
      </c>
      <c r="D335" s="1776" t="s">
        <v>3246</v>
      </c>
      <c r="E335" s="1776" t="s">
        <v>3247</v>
      </c>
      <c r="F335" s="1776" t="s">
        <v>2364</v>
      </c>
      <c r="G335" s="1776" t="s">
        <v>3248</v>
      </c>
      <c r="H335" s="1776" t="s">
        <v>22</v>
      </c>
      <c r="I335" s="1776" t="s">
        <v>856</v>
      </c>
    </row>
    <row r="336" spans="1:9" ht="11.25" customHeight="1">
      <c r="A336" s="1776" t="s">
        <v>2248</v>
      </c>
      <c r="B336" s="1776" t="s">
        <v>16</v>
      </c>
      <c r="C336" s="1776" t="s">
        <v>3249</v>
      </c>
      <c r="D336" s="1776" t="s">
        <v>3250</v>
      </c>
      <c r="E336" s="1776" t="s">
        <v>3251</v>
      </c>
      <c r="F336" s="1776" t="s">
        <v>2412</v>
      </c>
      <c r="G336" s="1776" t="s">
        <v>3252</v>
      </c>
      <c r="H336" s="1776" t="s">
        <v>22</v>
      </c>
      <c r="I336" s="1776" t="s">
        <v>856</v>
      </c>
    </row>
    <row r="337" spans="1:9" ht="11.25" customHeight="1">
      <c r="A337" s="1776" t="s">
        <v>2248</v>
      </c>
      <c r="B337" s="1776" t="s">
        <v>16</v>
      </c>
      <c r="C337" s="1776" t="s">
        <v>3253</v>
      </c>
      <c r="D337" s="1776" t="s">
        <v>3254</v>
      </c>
      <c r="E337" s="1776" t="s">
        <v>3255</v>
      </c>
      <c r="F337" s="1776" t="s">
        <v>2364</v>
      </c>
      <c r="G337" s="1776" t="s">
        <v>3256</v>
      </c>
      <c r="H337" s="1776" t="s">
        <v>22</v>
      </c>
      <c r="I337" s="1776" t="s">
        <v>856</v>
      </c>
    </row>
    <row r="338" spans="1:9" ht="11.25" customHeight="1">
      <c r="A338" s="1776" t="s">
        <v>2248</v>
      </c>
      <c r="B338" s="1776" t="s">
        <v>16</v>
      </c>
      <c r="C338" s="1776" t="s">
        <v>3257</v>
      </c>
      <c r="D338" s="1776" t="s">
        <v>3258</v>
      </c>
      <c r="E338" s="1776" t="s">
        <v>3259</v>
      </c>
      <c r="F338" s="1776" t="s">
        <v>2364</v>
      </c>
      <c r="G338" s="1776" t="s">
        <v>22</v>
      </c>
      <c r="H338" s="1776" t="s">
        <v>22</v>
      </c>
      <c r="I338" s="1776" t="s">
        <v>856</v>
      </c>
    </row>
    <row r="339" spans="1:9" ht="11.25" customHeight="1">
      <c r="A339" s="1776" t="s">
        <v>2248</v>
      </c>
      <c r="B339" s="1776" t="s">
        <v>16</v>
      </c>
      <c r="C339" s="1776" t="s">
        <v>3260</v>
      </c>
      <c r="D339" s="1776" t="s">
        <v>3261</v>
      </c>
      <c r="E339" s="1776" t="s">
        <v>3262</v>
      </c>
      <c r="F339" s="1776" t="s">
        <v>2614</v>
      </c>
      <c r="G339" s="1776" t="s">
        <v>3263</v>
      </c>
      <c r="H339" s="1776" t="s">
        <v>22</v>
      </c>
      <c r="I339" s="1776" t="s">
        <v>856</v>
      </c>
    </row>
    <row r="340" spans="1:9" ht="11.25" customHeight="1">
      <c r="A340" s="1776" t="s">
        <v>2248</v>
      </c>
      <c r="B340" s="1776" t="s">
        <v>16</v>
      </c>
      <c r="C340" s="1776" t="s">
        <v>3264</v>
      </c>
      <c r="D340" s="1776" t="s">
        <v>3265</v>
      </c>
      <c r="E340" s="1776" t="s">
        <v>3266</v>
      </c>
      <c r="F340" s="1776" t="s">
        <v>2316</v>
      </c>
      <c r="G340" s="1776" t="s">
        <v>3267</v>
      </c>
      <c r="H340" s="1776" t="s">
        <v>22</v>
      </c>
      <c r="I340" s="1776" t="s">
        <v>856</v>
      </c>
    </row>
    <row r="341" spans="1:9" ht="11.25" customHeight="1">
      <c r="A341" s="1776" t="s">
        <v>2248</v>
      </c>
      <c r="B341" s="1776" t="s">
        <v>16</v>
      </c>
      <c r="C341" s="1776" t="s">
        <v>3268</v>
      </c>
      <c r="D341" s="1776" t="s">
        <v>3269</v>
      </c>
      <c r="E341" s="1776" t="s">
        <v>3270</v>
      </c>
      <c r="F341" s="1776" t="s">
        <v>2430</v>
      </c>
      <c r="G341" s="1776" t="s">
        <v>3271</v>
      </c>
      <c r="H341" s="1776" t="s">
        <v>22</v>
      </c>
      <c r="I341" s="1776" t="s">
        <v>856</v>
      </c>
    </row>
    <row r="342" spans="1:9" ht="11.25" customHeight="1">
      <c r="A342" s="1776" t="s">
        <v>2248</v>
      </c>
      <c r="B342" s="1776" t="s">
        <v>16</v>
      </c>
      <c r="C342" s="1776" t="s">
        <v>2427</v>
      </c>
      <c r="D342" s="1776" t="s">
        <v>2428</v>
      </c>
      <c r="E342" s="1776" t="s">
        <v>2429</v>
      </c>
      <c r="F342" s="1776" t="s">
        <v>2430</v>
      </c>
      <c r="G342" s="1776" t="s">
        <v>2431</v>
      </c>
      <c r="H342" s="1776" t="s">
        <v>22</v>
      </c>
      <c r="I342" s="1776" t="s">
        <v>856</v>
      </c>
    </row>
    <row r="343" spans="1:9" ht="11.25" customHeight="1">
      <c r="A343" s="1776" t="s">
        <v>2248</v>
      </c>
      <c r="B343" s="1776" t="s">
        <v>16</v>
      </c>
      <c r="C343" s="1776" t="s">
        <v>3272</v>
      </c>
      <c r="D343" s="1776" t="s">
        <v>3273</v>
      </c>
      <c r="E343" s="1776" t="s">
        <v>3274</v>
      </c>
      <c r="F343" s="1776" t="s">
        <v>2430</v>
      </c>
      <c r="G343" s="1776" t="s">
        <v>3275</v>
      </c>
      <c r="H343" s="1776" t="s">
        <v>22</v>
      </c>
      <c r="I343" s="1776" t="s">
        <v>856</v>
      </c>
    </row>
    <row r="344" spans="1:9" ht="11.25" customHeight="1">
      <c r="A344" s="1776" t="s">
        <v>2248</v>
      </c>
      <c r="B344" s="1776" t="s">
        <v>16</v>
      </c>
      <c r="C344" s="1776" t="s">
        <v>3276</v>
      </c>
      <c r="D344" s="1776" t="s">
        <v>3277</v>
      </c>
      <c r="E344" s="1776" t="s">
        <v>3278</v>
      </c>
      <c r="F344" s="1776" t="s">
        <v>2430</v>
      </c>
      <c r="G344" s="1776" t="s">
        <v>3279</v>
      </c>
      <c r="H344" s="1776" t="s">
        <v>22</v>
      </c>
      <c r="I344" s="1776" t="s">
        <v>856</v>
      </c>
    </row>
    <row r="345" spans="1:9" ht="11.25" customHeight="1">
      <c r="A345" s="1776" t="s">
        <v>2248</v>
      </c>
      <c r="B345" s="1776" t="s">
        <v>16</v>
      </c>
      <c r="C345" s="1776" t="s">
        <v>3280</v>
      </c>
      <c r="D345" s="1776" t="s">
        <v>3281</v>
      </c>
      <c r="E345" s="1776" t="s">
        <v>3282</v>
      </c>
      <c r="F345" s="1776" t="s">
        <v>2430</v>
      </c>
      <c r="G345" s="1776" t="s">
        <v>22</v>
      </c>
      <c r="H345" s="1776" t="s">
        <v>22</v>
      </c>
      <c r="I345" s="1776" t="s">
        <v>856</v>
      </c>
    </row>
    <row r="346" spans="1:9" ht="11.25" customHeight="1">
      <c r="A346" s="1776" t="s">
        <v>2248</v>
      </c>
      <c r="B346" s="1776" t="s">
        <v>16</v>
      </c>
      <c r="C346" s="1776" t="s">
        <v>3283</v>
      </c>
      <c r="D346" s="1776" t="s">
        <v>3284</v>
      </c>
      <c r="E346" s="1776" t="s">
        <v>3285</v>
      </c>
      <c r="F346" s="1776" t="s">
        <v>2653</v>
      </c>
      <c r="G346" s="1776" t="s">
        <v>3286</v>
      </c>
      <c r="H346" s="1776" t="s">
        <v>22</v>
      </c>
      <c r="I346" s="1776" t="s">
        <v>856</v>
      </c>
    </row>
    <row r="347" spans="1:9" ht="11.25" customHeight="1">
      <c r="A347" s="1776" t="s">
        <v>2248</v>
      </c>
      <c r="B347" s="1776" t="s">
        <v>16</v>
      </c>
      <c r="C347" s="1776" t="s">
        <v>2432</v>
      </c>
      <c r="D347" s="1776" t="s">
        <v>2433</v>
      </c>
      <c r="E347" s="1776" t="s">
        <v>2434</v>
      </c>
      <c r="F347" s="1776" t="s">
        <v>2330</v>
      </c>
      <c r="G347" s="1776" t="s">
        <v>2435</v>
      </c>
      <c r="H347" s="1776" t="s">
        <v>22</v>
      </c>
      <c r="I347" s="1776" t="s">
        <v>856</v>
      </c>
    </row>
    <row r="348" spans="1:9" ht="11.25" customHeight="1">
      <c r="A348" s="1776" t="s">
        <v>2248</v>
      </c>
      <c r="B348" s="1776" t="s">
        <v>16</v>
      </c>
      <c r="C348" s="1776" t="s">
        <v>2436</v>
      </c>
      <c r="D348" s="1776" t="s">
        <v>2437</v>
      </c>
      <c r="E348" s="1776" t="s">
        <v>2438</v>
      </c>
      <c r="F348" s="1776" t="s">
        <v>2439</v>
      </c>
      <c r="G348" s="1776" t="s">
        <v>2440</v>
      </c>
      <c r="H348" s="1776" t="s">
        <v>22</v>
      </c>
      <c r="I348" s="1776" t="s">
        <v>856</v>
      </c>
    </row>
    <row r="349" spans="1:9" ht="11.25" customHeight="1">
      <c r="A349" s="1776" t="s">
        <v>2248</v>
      </c>
      <c r="B349" s="1776" t="s">
        <v>16</v>
      </c>
      <c r="C349" s="1776" t="s">
        <v>2441</v>
      </c>
      <c r="D349" s="1776" t="s">
        <v>2442</v>
      </c>
      <c r="E349" s="1776" t="s">
        <v>2443</v>
      </c>
      <c r="F349" s="1776" t="s">
        <v>2444</v>
      </c>
      <c r="G349" s="1776" t="s">
        <v>2445</v>
      </c>
      <c r="H349" s="1776" t="s">
        <v>2446</v>
      </c>
      <c r="I349" s="1776" t="s">
        <v>856</v>
      </c>
    </row>
    <row r="350" spans="1:9" ht="11.25" customHeight="1">
      <c r="A350" s="1776" t="s">
        <v>2248</v>
      </c>
      <c r="B350" s="1776" t="s">
        <v>16</v>
      </c>
      <c r="C350" s="1776" t="s">
        <v>3287</v>
      </c>
      <c r="D350" s="1776" t="s">
        <v>3288</v>
      </c>
      <c r="E350" s="1776" t="s">
        <v>3289</v>
      </c>
      <c r="F350" s="1776" t="s">
        <v>2312</v>
      </c>
      <c r="G350" s="1776" t="s">
        <v>22</v>
      </c>
      <c r="H350" s="1776" t="s">
        <v>22</v>
      </c>
      <c r="I350" s="1776" t="s">
        <v>856</v>
      </c>
    </row>
    <row r="351" spans="1:9" ht="11.25" customHeight="1">
      <c r="A351" s="1776" t="s">
        <v>2248</v>
      </c>
      <c r="B351" s="1776" t="s">
        <v>16</v>
      </c>
      <c r="C351" s="1776" t="s">
        <v>2450</v>
      </c>
      <c r="D351" s="1776" t="s">
        <v>2451</v>
      </c>
      <c r="E351" s="1776" t="s">
        <v>2452</v>
      </c>
      <c r="F351" s="1776" t="s">
        <v>2312</v>
      </c>
      <c r="G351" s="1776" t="s">
        <v>2453</v>
      </c>
      <c r="H351" s="1776" t="s">
        <v>22</v>
      </c>
      <c r="I351" s="1776" t="s">
        <v>856</v>
      </c>
    </row>
    <row r="352" spans="1:9" ht="11.25" customHeight="1">
      <c r="A352" s="1776" t="s">
        <v>2248</v>
      </c>
      <c r="B352" s="1776" t="s">
        <v>16</v>
      </c>
      <c r="C352" s="1776" t="s">
        <v>2454</v>
      </c>
      <c r="D352" s="1776" t="s">
        <v>2455</v>
      </c>
      <c r="E352" s="1776" t="s">
        <v>2456</v>
      </c>
      <c r="F352" s="1776" t="s">
        <v>2457</v>
      </c>
      <c r="G352" s="1776" t="s">
        <v>2458</v>
      </c>
      <c r="H352" s="1776" t="s">
        <v>22</v>
      </c>
      <c r="I352" s="1776" t="s">
        <v>856</v>
      </c>
    </row>
    <row r="353" spans="1:9" ht="11.25" customHeight="1">
      <c r="A353" s="1776" t="s">
        <v>2248</v>
      </c>
      <c r="B353" s="1776" t="s">
        <v>16</v>
      </c>
      <c r="C353" s="1776" t="s">
        <v>3290</v>
      </c>
      <c r="D353" s="1776" t="s">
        <v>3291</v>
      </c>
      <c r="E353" s="1776" t="s">
        <v>3292</v>
      </c>
      <c r="F353" s="1776" t="s">
        <v>2457</v>
      </c>
      <c r="G353" s="1776" t="s">
        <v>3293</v>
      </c>
      <c r="H353" s="1776" t="s">
        <v>2560</v>
      </c>
      <c r="I353" s="1776" t="s">
        <v>856</v>
      </c>
    </row>
    <row r="354" spans="1:9" ht="11.25" customHeight="1">
      <c r="A354" s="1776" t="s">
        <v>2248</v>
      </c>
      <c r="B354" s="1776" t="s">
        <v>16</v>
      </c>
      <c r="C354" s="1776" t="s">
        <v>2459</v>
      </c>
      <c r="D354" s="1776" t="s">
        <v>2460</v>
      </c>
      <c r="E354" s="1776" t="s">
        <v>2461</v>
      </c>
      <c r="F354" s="1776" t="s">
        <v>2350</v>
      </c>
      <c r="G354" s="1776" t="s">
        <v>2462</v>
      </c>
      <c r="H354" s="1776" t="s">
        <v>2391</v>
      </c>
      <c r="I354" s="1776" t="s">
        <v>856</v>
      </c>
    </row>
    <row r="355" spans="1:9" ht="11.25" customHeight="1">
      <c r="A355" s="1776" t="s">
        <v>2248</v>
      </c>
      <c r="B355" s="1776" t="s">
        <v>16</v>
      </c>
      <c r="C355" s="1776" t="s">
        <v>3294</v>
      </c>
      <c r="D355" s="1776" t="s">
        <v>3295</v>
      </c>
      <c r="E355" s="1776" t="s">
        <v>3296</v>
      </c>
      <c r="F355" s="1776" t="s">
        <v>2364</v>
      </c>
      <c r="G355" s="1776" t="s">
        <v>22</v>
      </c>
      <c r="H355" s="1776" t="s">
        <v>22</v>
      </c>
      <c r="I355" s="1776" t="s">
        <v>856</v>
      </c>
    </row>
    <row r="356" spans="1:9" ht="11.25" customHeight="1">
      <c r="A356" s="1776" t="s">
        <v>2248</v>
      </c>
      <c r="B356" s="1776" t="s">
        <v>16</v>
      </c>
      <c r="C356" s="1776" t="s">
        <v>3297</v>
      </c>
      <c r="D356" s="1776" t="s">
        <v>3298</v>
      </c>
      <c r="E356" s="1776" t="s">
        <v>3299</v>
      </c>
      <c r="F356" s="1776" t="s">
        <v>2312</v>
      </c>
      <c r="G356" s="1776" t="s">
        <v>3300</v>
      </c>
      <c r="H356" s="1776" t="s">
        <v>22</v>
      </c>
      <c r="I356" s="1776" t="s">
        <v>856</v>
      </c>
    </row>
    <row r="357" spans="1:9" ht="11.25" customHeight="1">
      <c r="A357" s="1776" t="s">
        <v>2248</v>
      </c>
      <c r="B357" s="1776" t="s">
        <v>16</v>
      </c>
      <c r="C357" s="1776" t="s">
        <v>3301</v>
      </c>
      <c r="D357" s="1776" t="s">
        <v>3302</v>
      </c>
      <c r="E357" s="1776" t="s">
        <v>3303</v>
      </c>
      <c r="F357" s="1776" t="s">
        <v>2653</v>
      </c>
      <c r="G357" s="1776" t="s">
        <v>3304</v>
      </c>
      <c r="H357" s="1776" t="s">
        <v>22</v>
      </c>
      <c r="I357" s="1776" t="s">
        <v>856</v>
      </c>
    </row>
    <row r="358" spans="1:9" ht="11.25" customHeight="1">
      <c r="A358" s="1776" t="s">
        <v>2248</v>
      </c>
      <c r="B358" s="1776" t="s">
        <v>16</v>
      </c>
      <c r="C358" s="1776" t="s">
        <v>2463</v>
      </c>
      <c r="D358" s="1776" t="s">
        <v>2464</v>
      </c>
      <c r="E358" s="1776" t="s">
        <v>2465</v>
      </c>
      <c r="F358" s="1776" t="s">
        <v>2439</v>
      </c>
      <c r="G358" s="1776" t="s">
        <v>2466</v>
      </c>
      <c r="H358" s="1776" t="s">
        <v>22</v>
      </c>
      <c r="I358" s="1776" t="s">
        <v>856</v>
      </c>
    </row>
    <row r="359" spans="1:9" ht="11.25" customHeight="1">
      <c r="A359" s="1776" t="s">
        <v>2248</v>
      </c>
      <c r="B359" s="1776" t="s">
        <v>16</v>
      </c>
      <c r="C359" s="1776" t="s">
        <v>3305</v>
      </c>
      <c r="D359" s="1776" t="s">
        <v>3306</v>
      </c>
      <c r="E359" s="1776" t="s">
        <v>3307</v>
      </c>
      <c r="F359" s="1776" t="s">
        <v>2386</v>
      </c>
      <c r="G359" s="1776" t="s">
        <v>3308</v>
      </c>
      <c r="H359" s="1776" t="s">
        <v>22</v>
      </c>
      <c r="I359" s="1776" t="s">
        <v>856</v>
      </c>
    </row>
    <row r="360" spans="1:9" ht="11.25" customHeight="1">
      <c r="A360" s="1776" t="s">
        <v>2248</v>
      </c>
      <c r="B360" s="1776" t="s">
        <v>16</v>
      </c>
      <c r="C360" s="1776" t="s">
        <v>3309</v>
      </c>
      <c r="D360" s="1776" t="s">
        <v>3310</v>
      </c>
      <c r="E360" s="1776" t="s">
        <v>3311</v>
      </c>
      <c r="F360" s="1776" t="s">
        <v>2553</v>
      </c>
      <c r="G360" s="1776" t="s">
        <v>2403</v>
      </c>
      <c r="H360" s="1776" t="s">
        <v>22</v>
      </c>
      <c r="I360" s="1776" t="s">
        <v>856</v>
      </c>
    </row>
    <row r="361" spans="1:9" ht="11.25" customHeight="1">
      <c r="A361" s="1776" t="s">
        <v>2248</v>
      </c>
      <c r="B361" s="1776" t="s">
        <v>16</v>
      </c>
      <c r="C361" s="1776" t="s">
        <v>3312</v>
      </c>
      <c r="D361" s="1776" t="s">
        <v>3313</v>
      </c>
      <c r="E361" s="1776" t="s">
        <v>3314</v>
      </c>
      <c r="F361" s="1776" t="s">
        <v>2256</v>
      </c>
      <c r="G361" s="1776" t="s">
        <v>3315</v>
      </c>
      <c r="H361" s="1776" t="s">
        <v>22</v>
      </c>
      <c r="I361" s="1776" t="s">
        <v>856</v>
      </c>
    </row>
    <row r="362" spans="1:9" ht="11.25" customHeight="1">
      <c r="A362" s="1776" t="s">
        <v>2248</v>
      </c>
      <c r="B362" s="1776" t="s">
        <v>16</v>
      </c>
      <c r="C362" s="1776" t="s">
        <v>3316</v>
      </c>
      <c r="D362" s="1776" t="s">
        <v>3313</v>
      </c>
      <c r="E362" s="1776" t="s">
        <v>3317</v>
      </c>
      <c r="F362" s="1776" t="s">
        <v>2568</v>
      </c>
      <c r="G362" s="1776" t="s">
        <v>3318</v>
      </c>
      <c r="H362" s="1776" t="s">
        <v>22</v>
      </c>
      <c r="I362" s="1776" t="s">
        <v>856</v>
      </c>
    </row>
    <row r="363" spans="1:9" ht="11.25" customHeight="1">
      <c r="A363" s="1776" t="s">
        <v>2248</v>
      </c>
      <c r="B363" s="1776" t="s">
        <v>16</v>
      </c>
      <c r="C363" s="1776" t="s">
        <v>3319</v>
      </c>
      <c r="D363" s="1776" t="s">
        <v>3320</v>
      </c>
      <c r="E363" s="1776" t="s">
        <v>3321</v>
      </c>
      <c r="F363" s="1776" t="s">
        <v>2577</v>
      </c>
      <c r="G363" s="1776" t="s">
        <v>3322</v>
      </c>
      <c r="H363" s="1776" t="s">
        <v>22</v>
      </c>
      <c r="I363" s="1776" t="s">
        <v>856</v>
      </c>
    </row>
    <row r="364" spans="1:9" ht="11.25" customHeight="1">
      <c r="A364" s="1776" t="s">
        <v>2248</v>
      </c>
      <c r="B364" s="1776" t="s">
        <v>16</v>
      </c>
      <c r="C364" s="1776" t="s">
        <v>3323</v>
      </c>
      <c r="D364" s="1776" t="s">
        <v>3324</v>
      </c>
      <c r="E364" s="1776" t="s">
        <v>3325</v>
      </c>
      <c r="F364" s="1776" t="s">
        <v>2398</v>
      </c>
      <c r="G364" s="1776" t="s">
        <v>3308</v>
      </c>
      <c r="H364" s="1776" t="s">
        <v>22</v>
      </c>
      <c r="I364" s="1776" t="s">
        <v>856</v>
      </c>
    </row>
    <row r="365" spans="1:9" ht="11.25" customHeight="1">
      <c r="A365" s="1776" t="s">
        <v>2248</v>
      </c>
      <c r="B365" s="1776" t="s">
        <v>16</v>
      </c>
      <c r="C365" s="1776" t="s">
        <v>3326</v>
      </c>
      <c r="D365" s="1776" t="s">
        <v>3327</v>
      </c>
      <c r="E365" s="1776" t="s">
        <v>3328</v>
      </c>
      <c r="F365" s="1776" t="s">
        <v>2386</v>
      </c>
      <c r="G365" s="1776" t="s">
        <v>3329</v>
      </c>
      <c r="H365" s="1776" t="s">
        <v>22</v>
      </c>
      <c r="I365" s="1776" t="s">
        <v>856</v>
      </c>
    </row>
    <row r="366" spans="1:9" ht="11.25" customHeight="1">
      <c r="A366" s="1776" t="s">
        <v>2248</v>
      </c>
      <c r="B366" s="1776" t="s">
        <v>16</v>
      </c>
      <c r="C366" s="1776" t="s">
        <v>3330</v>
      </c>
      <c r="D366" s="1776" t="s">
        <v>3331</v>
      </c>
      <c r="E366" s="1776" t="s">
        <v>3332</v>
      </c>
      <c r="F366" s="1776" t="s">
        <v>2312</v>
      </c>
      <c r="G366" s="1776" t="s">
        <v>3333</v>
      </c>
      <c r="H366" s="1776" t="s">
        <v>22</v>
      </c>
      <c r="I366" s="1776" t="s">
        <v>856</v>
      </c>
    </row>
    <row r="367" spans="1:9" ht="11.25" customHeight="1">
      <c r="A367" s="1776" t="s">
        <v>2248</v>
      </c>
      <c r="B367" s="1776" t="s">
        <v>16</v>
      </c>
      <c r="C367" s="1776" t="s">
        <v>3334</v>
      </c>
      <c r="D367" s="1776" t="s">
        <v>3335</v>
      </c>
      <c r="E367" s="1776" t="s">
        <v>3336</v>
      </c>
      <c r="F367" s="1776" t="s">
        <v>3337</v>
      </c>
      <c r="G367" s="1776" t="s">
        <v>3338</v>
      </c>
      <c r="H367" s="1776" t="s">
        <v>22</v>
      </c>
      <c r="I367" s="1776" t="s">
        <v>856</v>
      </c>
    </row>
    <row r="368" spans="1:9" ht="11.25" customHeight="1">
      <c r="A368" s="1776" t="s">
        <v>2248</v>
      </c>
      <c r="B368" s="1776" t="s">
        <v>16</v>
      </c>
      <c r="C368" s="1776" t="s">
        <v>2471</v>
      </c>
      <c r="D368" s="1776" t="s">
        <v>2472</v>
      </c>
      <c r="E368" s="1776" t="s">
        <v>2473</v>
      </c>
      <c r="F368" s="1776" t="s">
        <v>2364</v>
      </c>
      <c r="G368" s="1776" t="s">
        <v>2474</v>
      </c>
      <c r="H368" s="1776" t="s">
        <v>22</v>
      </c>
      <c r="I368" s="1776" t="s">
        <v>856</v>
      </c>
    </row>
    <row r="369" spans="1:9" ht="11.25" customHeight="1">
      <c r="A369" s="1776" t="s">
        <v>2248</v>
      </c>
      <c r="B369" s="1776" t="s">
        <v>16</v>
      </c>
      <c r="C369" s="1776" t="s">
        <v>2475</v>
      </c>
      <c r="D369" s="1776" t="s">
        <v>2476</v>
      </c>
      <c r="E369" s="1776" t="s">
        <v>2477</v>
      </c>
      <c r="F369" s="1776" t="s">
        <v>2478</v>
      </c>
      <c r="G369" s="1776" t="s">
        <v>2479</v>
      </c>
      <c r="H369" s="1776" t="s">
        <v>22</v>
      </c>
      <c r="I369" s="1776" t="s">
        <v>856</v>
      </c>
    </row>
    <row r="370" spans="1:9" ht="11.25" customHeight="1">
      <c r="A370" s="1776" t="s">
        <v>2248</v>
      </c>
      <c r="B370" s="1776" t="s">
        <v>16</v>
      </c>
      <c r="C370" s="1776" t="s">
        <v>3339</v>
      </c>
      <c r="D370" s="1776" t="s">
        <v>3340</v>
      </c>
      <c r="E370" s="1776" t="s">
        <v>3341</v>
      </c>
      <c r="F370" s="1776" t="s">
        <v>2483</v>
      </c>
      <c r="G370" s="1776" t="s">
        <v>3342</v>
      </c>
      <c r="H370" s="1776" t="s">
        <v>22</v>
      </c>
      <c r="I370" s="1776" t="s">
        <v>856</v>
      </c>
    </row>
    <row r="371" spans="1:9" ht="11.25" customHeight="1">
      <c r="A371" s="1776" t="s">
        <v>2248</v>
      </c>
      <c r="B371" s="1776" t="s">
        <v>16</v>
      </c>
      <c r="C371" s="1776" t="s">
        <v>3343</v>
      </c>
      <c r="D371" s="1776" t="s">
        <v>3344</v>
      </c>
      <c r="E371" s="1776" t="s">
        <v>3345</v>
      </c>
      <c r="F371" s="1776" t="s">
        <v>2483</v>
      </c>
      <c r="G371" s="1776" t="s">
        <v>3342</v>
      </c>
      <c r="H371" s="1776" t="s">
        <v>22</v>
      </c>
      <c r="I371" s="1776" t="s">
        <v>856</v>
      </c>
    </row>
    <row r="372" spans="1:9" ht="11.25" customHeight="1">
      <c r="A372" s="1776" t="s">
        <v>2248</v>
      </c>
      <c r="B372" s="1776" t="s">
        <v>16</v>
      </c>
      <c r="C372" s="1776" t="s">
        <v>2480</v>
      </c>
      <c r="D372" s="1776" t="s">
        <v>2481</v>
      </c>
      <c r="E372" s="1776" t="s">
        <v>2482</v>
      </c>
      <c r="F372" s="1776" t="s">
        <v>2483</v>
      </c>
      <c r="G372" s="1776" t="s">
        <v>2484</v>
      </c>
      <c r="H372" s="1776" t="s">
        <v>22</v>
      </c>
      <c r="I372" s="1776" t="s">
        <v>856</v>
      </c>
    </row>
    <row r="373" spans="1:9" ht="11.25" customHeight="1">
      <c r="A373" s="1776" t="s">
        <v>2248</v>
      </c>
      <c r="B373" s="1776" t="s">
        <v>16</v>
      </c>
      <c r="C373" s="1776" t="s">
        <v>2485</v>
      </c>
      <c r="D373" s="1776" t="s">
        <v>2486</v>
      </c>
      <c r="E373" s="1776" t="s">
        <v>2487</v>
      </c>
      <c r="F373" s="1776" t="s">
        <v>2488</v>
      </c>
      <c r="G373" s="1776" t="s">
        <v>2489</v>
      </c>
      <c r="H373" s="1776" t="s">
        <v>22</v>
      </c>
      <c r="I373" s="1776" t="s">
        <v>856</v>
      </c>
    </row>
    <row r="374" spans="1:9" ht="11.25" customHeight="1">
      <c r="A374" s="1776" t="s">
        <v>2248</v>
      </c>
      <c r="B374" s="1776" t="s">
        <v>16</v>
      </c>
      <c r="C374" s="1776" t="s">
        <v>2490</v>
      </c>
      <c r="D374" s="1776" t="s">
        <v>2491</v>
      </c>
      <c r="E374" s="1776" t="s">
        <v>2492</v>
      </c>
      <c r="F374" s="1776" t="s">
        <v>2430</v>
      </c>
      <c r="G374" s="1776" t="s">
        <v>2493</v>
      </c>
      <c r="H374" s="1776" t="s">
        <v>22</v>
      </c>
      <c r="I374" s="1776" t="s">
        <v>856</v>
      </c>
    </row>
    <row r="375" spans="1:9" ht="11.25" customHeight="1">
      <c r="A375" s="1776" t="s">
        <v>2248</v>
      </c>
      <c r="B375" s="1776" t="s">
        <v>16</v>
      </c>
      <c r="C375" s="1776" t="s">
        <v>3346</v>
      </c>
      <c r="D375" s="1776" t="s">
        <v>3347</v>
      </c>
      <c r="E375" s="1776" t="s">
        <v>3348</v>
      </c>
      <c r="F375" s="1776" t="s">
        <v>2386</v>
      </c>
      <c r="G375" s="1776" t="s">
        <v>22</v>
      </c>
      <c r="H375" s="1776" t="s">
        <v>3349</v>
      </c>
      <c r="I375" s="1776" t="s">
        <v>856</v>
      </c>
    </row>
    <row r="376" spans="1:9" ht="11.25" customHeight="1">
      <c r="A376" s="1776" t="s">
        <v>2248</v>
      </c>
      <c r="B376" s="1776" t="s">
        <v>16</v>
      </c>
      <c r="C376" s="1776" t="s">
        <v>2494</v>
      </c>
      <c r="D376" s="1776" t="s">
        <v>2495</v>
      </c>
      <c r="E376" s="1776" t="s">
        <v>2496</v>
      </c>
      <c r="F376" s="1776" t="s">
        <v>2497</v>
      </c>
      <c r="G376" s="1776" t="s">
        <v>2498</v>
      </c>
      <c r="H376" s="1776" t="s">
        <v>22</v>
      </c>
      <c r="I376" s="1776" t="s">
        <v>856</v>
      </c>
    </row>
    <row r="377" spans="1:9" ht="11.25" customHeight="1">
      <c r="A377" s="1776" t="s">
        <v>2248</v>
      </c>
      <c r="B377" s="1776" t="s">
        <v>16</v>
      </c>
      <c r="C377" s="1776" t="s">
        <v>2499</v>
      </c>
      <c r="D377" s="1776" t="s">
        <v>2500</v>
      </c>
      <c r="E377" s="1776" t="s">
        <v>2501</v>
      </c>
      <c r="F377" s="1776" t="s">
        <v>2364</v>
      </c>
      <c r="G377" s="1776" t="s">
        <v>2502</v>
      </c>
      <c r="H377" s="1776" t="s">
        <v>22</v>
      </c>
      <c r="I377" s="1776" t="s">
        <v>856</v>
      </c>
    </row>
    <row r="378" spans="1:9" ht="11.25" customHeight="1">
      <c r="A378" s="1776" t="s">
        <v>2248</v>
      </c>
      <c r="B378" s="1776" t="s">
        <v>16</v>
      </c>
      <c r="C378" s="1776" t="s">
        <v>2503</v>
      </c>
      <c r="D378" s="1776" t="s">
        <v>2504</v>
      </c>
      <c r="E378" s="1776" t="s">
        <v>2505</v>
      </c>
      <c r="F378" s="1776" t="s">
        <v>2506</v>
      </c>
      <c r="G378" s="1776" t="s">
        <v>2507</v>
      </c>
      <c r="H378" s="1776" t="s">
        <v>22</v>
      </c>
      <c r="I378" s="1776" t="s">
        <v>856</v>
      </c>
    </row>
    <row r="379" spans="1:9" ht="11.25" customHeight="1">
      <c r="A379" s="1776" t="s">
        <v>2248</v>
      </c>
      <c r="B379" s="1776" t="s">
        <v>16</v>
      </c>
      <c r="C379" s="1776" t="s">
        <v>2508</v>
      </c>
      <c r="D379" s="1776" t="s">
        <v>2509</v>
      </c>
      <c r="E379" s="1776" t="s">
        <v>2510</v>
      </c>
      <c r="F379" s="1776" t="s">
        <v>2312</v>
      </c>
      <c r="G379" s="1776" t="s">
        <v>2511</v>
      </c>
      <c r="H379" s="1776" t="s">
        <v>22</v>
      </c>
      <c r="I379" s="1776" t="s">
        <v>856</v>
      </c>
    </row>
    <row r="380" spans="1:9" ht="11.25" customHeight="1">
      <c r="A380" s="1776" t="s">
        <v>2248</v>
      </c>
      <c r="B380" s="1776" t="s">
        <v>16</v>
      </c>
      <c r="C380" s="1776" t="s">
        <v>3350</v>
      </c>
      <c r="D380" s="1776" t="s">
        <v>3351</v>
      </c>
      <c r="E380" s="1776" t="s">
        <v>3352</v>
      </c>
      <c r="F380" s="1776" t="s">
        <v>2398</v>
      </c>
      <c r="G380" s="1776" t="s">
        <v>3353</v>
      </c>
      <c r="H380" s="1776" t="s">
        <v>3354</v>
      </c>
      <c r="I380" s="1776" t="s">
        <v>856</v>
      </c>
    </row>
    <row r="381" spans="1:9" ht="11.25" customHeight="1">
      <c r="A381" s="1776" t="s">
        <v>2248</v>
      </c>
      <c r="B381" s="1776" t="s">
        <v>16</v>
      </c>
      <c r="C381" s="1776" t="s">
        <v>2512</v>
      </c>
      <c r="D381" s="1776" t="s">
        <v>2513</v>
      </c>
      <c r="E381" s="1776" t="s">
        <v>2514</v>
      </c>
      <c r="F381" s="1776" t="s">
        <v>2515</v>
      </c>
      <c r="G381" s="1776" t="s">
        <v>2516</v>
      </c>
      <c r="H381" s="1776" t="s">
        <v>22</v>
      </c>
      <c r="I381" s="1776" t="s">
        <v>856</v>
      </c>
    </row>
    <row r="382" spans="1:9" ht="11.25" customHeight="1">
      <c r="A382" s="1776" t="s">
        <v>2248</v>
      </c>
      <c r="B382" s="1776" t="s">
        <v>16</v>
      </c>
      <c r="C382" s="1776" t="s">
        <v>3355</v>
      </c>
      <c r="D382" s="1776" t="s">
        <v>3356</v>
      </c>
      <c r="E382" s="1776" t="s">
        <v>3357</v>
      </c>
      <c r="F382" s="1776" t="s">
        <v>2653</v>
      </c>
      <c r="G382" s="1776" t="s">
        <v>22</v>
      </c>
      <c r="H382" s="1776" t="s">
        <v>22</v>
      </c>
      <c r="I382" s="1776" t="s">
        <v>856</v>
      </c>
    </row>
    <row r="383" spans="1:9" ht="11.25" customHeight="1">
      <c r="A383" s="1776" t="s">
        <v>2248</v>
      </c>
      <c r="B383" s="1776" t="s">
        <v>16</v>
      </c>
      <c r="C383" s="1776" t="s">
        <v>3358</v>
      </c>
      <c r="D383" s="1776" t="s">
        <v>3359</v>
      </c>
      <c r="E383" s="1776" t="s">
        <v>3360</v>
      </c>
      <c r="F383" s="1776" t="s">
        <v>2312</v>
      </c>
      <c r="G383" s="1776" t="s">
        <v>2520</v>
      </c>
      <c r="H383" s="1776" t="s">
        <v>22</v>
      </c>
      <c r="I383" s="1776" t="s">
        <v>856</v>
      </c>
    </row>
    <row r="384" spans="1:9" ht="11.25" customHeight="1">
      <c r="A384" s="1776" t="s">
        <v>2248</v>
      </c>
      <c r="B384" s="1776" t="s">
        <v>16</v>
      </c>
      <c r="C384" s="1776" t="s">
        <v>3361</v>
      </c>
      <c r="D384" s="1776" t="s">
        <v>3362</v>
      </c>
      <c r="E384" s="1776" t="s">
        <v>3363</v>
      </c>
      <c r="F384" s="1776" t="s">
        <v>2364</v>
      </c>
      <c r="G384" s="1776" t="s">
        <v>22</v>
      </c>
      <c r="H384" s="1776" t="s">
        <v>22</v>
      </c>
      <c r="I384" s="1776" t="s">
        <v>856</v>
      </c>
    </row>
    <row r="385" spans="1:9" ht="11.25" customHeight="1">
      <c r="A385" s="1776" t="s">
        <v>2248</v>
      </c>
      <c r="B385" s="1776" t="s">
        <v>16</v>
      </c>
      <c r="C385" s="1776" t="s">
        <v>3364</v>
      </c>
      <c r="D385" s="1776" t="s">
        <v>3365</v>
      </c>
      <c r="E385" s="1776" t="s">
        <v>3366</v>
      </c>
      <c r="F385" s="1776" t="s">
        <v>2553</v>
      </c>
      <c r="G385" s="1776" t="s">
        <v>22</v>
      </c>
      <c r="H385" s="1776" t="s">
        <v>22</v>
      </c>
      <c r="I385" s="1776" t="s">
        <v>856</v>
      </c>
    </row>
    <row r="386" spans="1:9" ht="11.25" customHeight="1">
      <c r="A386" s="1776" t="s">
        <v>2248</v>
      </c>
      <c r="B386" s="1776" t="s">
        <v>16</v>
      </c>
      <c r="C386" s="1776" t="s">
        <v>3367</v>
      </c>
      <c r="D386" s="1776" t="s">
        <v>3368</v>
      </c>
      <c r="E386" s="1776" t="s">
        <v>3369</v>
      </c>
      <c r="F386" s="1776" t="s">
        <v>2364</v>
      </c>
      <c r="G386" s="1776" t="s">
        <v>3370</v>
      </c>
      <c r="H386" s="1776" t="s">
        <v>22</v>
      </c>
      <c r="I386" s="1776" t="s">
        <v>856</v>
      </c>
    </row>
    <row r="387" spans="1:9" ht="11.25" customHeight="1">
      <c r="A387" s="1776" t="s">
        <v>2248</v>
      </c>
      <c r="B387" s="1776" t="s">
        <v>16</v>
      </c>
      <c r="C387" s="1776" t="s">
        <v>3371</v>
      </c>
      <c r="D387" s="1776" t="s">
        <v>3372</v>
      </c>
      <c r="E387" s="1776" t="s">
        <v>3373</v>
      </c>
      <c r="F387" s="1776" t="s">
        <v>2430</v>
      </c>
      <c r="G387" s="1776" t="s">
        <v>22</v>
      </c>
      <c r="H387" s="1776" t="s">
        <v>22</v>
      </c>
      <c r="I387" s="1776" t="s">
        <v>856</v>
      </c>
    </row>
    <row r="388" spans="1:9" ht="11.25" customHeight="1">
      <c r="A388" s="1776" t="s">
        <v>2248</v>
      </c>
      <c r="B388" s="1776" t="s">
        <v>16</v>
      </c>
      <c r="C388" s="1776" t="s">
        <v>3374</v>
      </c>
      <c r="D388" s="1776" t="s">
        <v>3375</v>
      </c>
      <c r="E388" s="1776" t="s">
        <v>3376</v>
      </c>
      <c r="F388" s="1776" t="s">
        <v>2653</v>
      </c>
      <c r="G388" s="1776" t="s">
        <v>3377</v>
      </c>
      <c r="H388" s="1776" t="s">
        <v>22</v>
      </c>
      <c r="I388" s="1776" t="s">
        <v>856</v>
      </c>
    </row>
    <row r="389" spans="1:9" ht="11.25" customHeight="1">
      <c r="A389" s="1776" t="s">
        <v>2248</v>
      </c>
      <c r="B389" s="1776" t="s">
        <v>16</v>
      </c>
      <c r="C389" s="1776" t="s">
        <v>2525</v>
      </c>
      <c r="D389" s="1776" t="s">
        <v>2526</v>
      </c>
      <c r="E389" s="1776" t="s">
        <v>2527</v>
      </c>
      <c r="F389" s="1776" t="s">
        <v>2430</v>
      </c>
      <c r="G389" s="1776" t="s">
        <v>2528</v>
      </c>
      <c r="H389" s="1776" t="s">
        <v>22</v>
      </c>
      <c r="I389" s="1776" t="s">
        <v>856</v>
      </c>
    </row>
    <row r="390" spans="1:9" ht="11.25" customHeight="1">
      <c r="A390" s="1776" t="s">
        <v>2248</v>
      </c>
      <c r="B390" s="1776" t="s">
        <v>16</v>
      </c>
      <c r="C390" s="1776" t="s">
        <v>3378</v>
      </c>
      <c r="D390" s="1776" t="s">
        <v>3379</v>
      </c>
      <c r="E390" s="1776" t="s">
        <v>3380</v>
      </c>
      <c r="F390" s="1776" t="s">
        <v>2386</v>
      </c>
      <c r="G390" s="1776" t="s">
        <v>3381</v>
      </c>
      <c r="H390" s="1776" t="s">
        <v>22</v>
      </c>
      <c r="I390" s="1776" t="s">
        <v>856</v>
      </c>
    </row>
    <row r="391" spans="1:9" ht="11.25" customHeight="1">
      <c r="A391" s="1776" t="s">
        <v>2248</v>
      </c>
      <c r="B391" s="1776" t="s">
        <v>16</v>
      </c>
      <c r="C391" s="1776" t="s">
        <v>3382</v>
      </c>
      <c r="D391" s="1776" t="s">
        <v>3383</v>
      </c>
      <c r="E391" s="1776" t="s">
        <v>3384</v>
      </c>
      <c r="F391" s="1776" t="s">
        <v>2407</v>
      </c>
      <c r="G391" s="1776" t="s">
        <v>3385</v>
      </c>
      <c r="H391" s="1776" t="s">
        <v>3386</v>
      </c>
      <c r="I391" s="1776" t="s">
        <v>856</v>
      </c>
    </row>
    <row r="392" spans="1:9" ht="11.25" customHeight="1">
      <c r="A392" s="1776" t="s">
        <v>2248</v>
      </c>
      <c r="B392" s="1776" t="s">
        <v>16</v>
      </c>
      <c r="C392" s="1776" t="s">
        <v>3387</v>
      </c>
      <c r="D392" s="1776" t="s">
        <v>3388</v>
      </c>
      <c r="E392" s="1776" t="s">
        <v>3389</v>
      </c>
      <c r="F392" s="1776" t="s">
        <v>2312</v>
      </c>
      <c r="G392" s="1776" t="s">
        <v>3390</v>
      </c>
      <c r="H392" s="1776" t="s">
        <v>22</v>
      </c>
      <c r="I392" s="1776" t="s">
        <v>856</v>
      </c>
    </row>
    <row r="393" spans="1:9" ht="11.25" customHeight="1">
      <c r="A393" s="1776" t="s">
        <v>2248</v>
      </c>
      <c r="B393" s="1776" t="s">
        <v>16</v>
      </c>
      <c r="C393" s="1776" t="s">
        <v>3391</v>
      </c>
      <c r="D393" s="1776" t="s">
        <v>3392</v>
      </c>
      <c r="E393" s="1776" t="s">
        <v>3393</v>
      </c>
      <c r="F393" s="1776" t="s">
        <v>2553</v>
      </c>
      <c r="G393" s="1776" t="s">
        <v>22</v>
      </c>
      <c r="H393" s="1776" t="s">
        <v>22</v>
      </c>
      <c r="I393" s="1776" t="s">
        <v>856</v>
      </c>
    </row>
    <row r="394" spans="1:9" ht="11.25" customHeight="1">
      <c r="A394" s="1776" t="s">
        <v>2248</v>
      </c>
      <c r="B394" s="1776" t="s">
        <v>16</v>
      </c>
      <c r="C394" s="1776" t="s">
        <v>2533</v>
      </c>
      <c r="D394" s="1776" t="s">
        <v>2534</v>
      </c>
      <c r="E394" s="1776" t="s">
        <v>2535</v>
      </c>
      <c r="F394" s="1776" t="s">
        <v>2430</v>
      </c>
      <c r="G394" s="1776" t="s">
        <v>2536</v>
      </c>
      <c r="H394" s="1776" t="s">
        <v>22</v>
      </c>
      <c r="I394" s="1776" t="s">
        <v>856</v>
      </c>
    </row>
    <row r="395" spans="1:9" ht="11.25" customHeight="1">
      <c r="A395" s="1776" t="s">
        <v>2248</v>
      </c>
      <c r="B395" s="1776" t="s">
        <v>16</v>
      </c>
      <c r="C395" s="1776" t="s">
        <v>3394</v>
      </c>
      <c r="D395" s="1776" t="s">
        <v>3395</v>
      </c>
      <c r="E395" s="1776" t="s">
        <v>3396</v>
      </c>
      <c r="F395" s="1776" t="s">
        <v>2653</v>
      </c>
      <c r="G395" s="1776" t="s">
        <v>3397</v>
      </c>
      <c r="H395" s="1776" t="s">
        <v>22</v>
      </c>
      <c r="I395" s="1776" t="s">
        <v>856</v>
      </c>
    </row>
    <row r="396" spans="1:9" ht="11.25" customHeight="1">
      <c r="A396" s="1776" t="s">
        <v>2248</v>
      </c>
      <c r="B396" s="1776" t="s">
        <v>16</v>
      </c>
      <c r="C396" s="1776" t="s">
        <v>2537</v>
      </c>
      <c r="D396" s="1776" t="s">
        <v>2538</v>
      </c>
      <c r="E396" s="1776" t="s">
        <v>2539</v>
      </c>
      <c r="F396" s="1776" t="s">
        <v>2506</v>
      </c>
      <c r="G396" s="1776" t="s">
        <v>2540</v>
      </c>
      <c r="H396" s="1776" t="s">
        <v>22</v>
      </c>
      <c r="I396" s="1776" t="s">
        <v>856</v>
      </c>
    </row>
    <row r="397" spans="1:9" ht="11.25" customHeight="1">
      <c r="A397" s="1776" t="s">
        <v>2248</v>
      </c>
      <c r="B397" s="1776" t="s">
        <v>16</v>
      </c>
      <c r="C397" s="1776" t="s">
        <v>3398</v>
      </c>
      <c r="D397" s="1776" t="s">
        <v>3399</v>
      </c>
      <c r="E397" s="1776" t="s">
        <v>3400</v>
      </c>
      <c r="F397" s="1776" t="s">
        <v>2439</v>
      </c>
      <c r="G397" s="1776" t="s">
        <v>22</v>
      </c>
      <c r="H397" s="1776" t="s">
        <v>22</v>
      </c>
      <c r="I397" s="1776" t="s">
        <v>856</v>
      </c>
    </row>
    <row r="398" spans="1:9" ht="11.25" customHeight="1">
      <c r="A398" s="1776" t="s">
        <v>2248</v>
      </c>
      <c r="B398" s="1776" t="s">
        <v>16</v>
      </c>
      <c r="C398" s="1776" t="s">
        <v>3401</v>
      </c>
      <c r="D398" s="1776" t="s">
        <v>3402</v>
      </c>
      <c r="E398" s="1776" t="s">
        <v>3403</v>
      </c>
      <c r="F398" s="1776" t="s">
        <v>2386</v>
      </c>
      <c r="G398" s="1776" t="s">
        <v>22</v>
      </c>
      <c r="H398" s="1776" t="s">
        <v>22</v>
      </c>
      <c r="I398" s="1776" t="s">
        <v>856</v>
      </c>
    </row>
    <row r="399" spans="1:9" ht="11.25" customHeight="1">
      <c r="A399" s="1776" t="s">
        <v>2248</v>
      </c>
      <c r="B399" s="1776" t="s">
        <v>16</v>
      </c>
      <c r="C399" s="1776" t="s">
        <v>2541</v>
      </c>
      <c r="D399" s="1776" t="s">
        <v>2542</v>
      </c>
      <c r="E399" s="1776" t="s">
        <v>2543</v>
      </c>
      <c r="F399" s="1776" t="s">
        <v>2364</v>
      </c>
      <c r="G399" s="1776" t="s">
        <v>22</v>
      </c>
      <c r="H399" s="1776" t="s">
        <v>22</v>
      </c>
      <c r="I399" s="1776" t="s">
        <v>856</v>
      </c>
    </row>
    <row r="400" spans="1:9" ht="11.25" customHeight="1">
      <c r="A400" s="1776" t="s">
        <v>2248</v>
      </c>
      <c r="B400" s="1776" t="s">
        <v>16</v>
      </c>
      <c r="C400" s="1776" t="s">
        <v>13</v>
      </c>
      <c r="D400" s="1776" t="s">
        <v>46</v>
      </c>
      <c r="E400" s="1776" t="s">
        <v>49</v>
      </c>
      <c r="F400" s="1776" t="s">
        <v>51</v>
      </c>
      <c r="G400" s="1776" t="s">
        <v>3404</v>
      </c>
      <c r="H400" s="1776" t="s">
        <v>22</v>
      </c>
      <c r="I400" s="1776" t="s">
        <v>856</v>
      </c>
    </row>
    <row r="401" spans="1:9" ht="11.25" customHeight="1">
      <c r="A401" s="1776" t="s">
        <v>2248</v>
      </c>
      <c r="B401" s="1776" t="s">
        <v>16</v>
      </c>
      <c r="C401" s="1776" t="s">
        <v>3405</v>
      </c>
      <c r="D401" s="1776" t="s">
        <v>3406</v>
      </c>
      <c r="E401" s="1776" t="s">
        <v>3407</v>
      </c>
      <c r="F401" s="1776" t="s">
        <v>2553</v>
      </c>
      <c r="G401" s="1776" t="s">
        <v>3408</v>
      </c>
      <c r="H401" s="1776" t="s">
        <v>22</v>
      </c>
      <c r="I401" s="1776" t="s">
        <v>856</v>
      </c>
    </row>
    <row r="402" spans="1:9" ht="11.25" customHeight="1">
      <c r="A402" s="1776" t="s">
        <v>2248</v>
      </c>
      <c r="B402" s="1776" t="s">
        <v>16</v>
      </c>
      <c r="C402" s="1776" t="s">
        <v>3409</v>
      </c>
      <c r="D402" s="1776" t="s">
        <v>3410</v>
      </c>
      <c r="E402" s="1776" t="s">
        <v>3411</v>
      </c>
      <c r="F402" s="1776" t="s">
        <v>2386</v>
      </c>
      <c r="G402" s="1776" t="s">
        <v>3412</v>
      </c>
      <c r="H402" s="1776" t="s">
        <v>22</v>
      </c>
      <c r="I402" s="1776" t="s">
        <v>856</v>
      </c>
    </row>
    <row r="403" spans="1:9" ht="11.25" customHeight="1">
      <c r="A403" s="1776" t="s">
        <v>2248</v>
      </c>
      <c r="B403" s="1776" t="s">
        <v>16</v>
      </c>
      <c r="C403" s="1776" t="s">
        <v>2544</v>
      </c>
      <c r="D403" s="1776" t="s">
        <v>2545</v>
      </c>
      <c r="E403" s="1776" t="s">
        <v>2546</v>
      </c>
      <c r="F403" s="1776" t="s">
        <v>2547</v>
      </c>
      <c r="G403" s="1776" t="s">
        <v>2548</v>
      </c>
      <c r="H403" s="1776" t="s">
        <v>2549</v>
      </c>
      <c r="I403" s="1776" t="s">
        <v>856</v>
      </c>
    </row>
    <row r="404" spans="1:9" ht="11.25" customHeight="1">
      <c r="A404" s="1776" t="s">
        <v>2248</v>
      </c>
      <c r="B404" s="1776" t="s">
        <v>16</v>
      </c>
      <c r="C404" s="1776" t="s">
        <v>2550</v>
      </c>
      <c r="D404" s="1776" t="s">
        <v>2551</v>
      </c>
      <c r="E404" s="1776" t="s">
        <v>2552</v>
      </c>
      <c r="F404" s="1776" t="s">
        <v>2553</v>
      </c>
      <c r="G404" s="1776" t="s">
        <v>2554</v>
      </c>
      <c r="H404" s="1776" t="s">
        <v>22</v>
      </c>
      <c r="I404" s="1776" t="s">
        <v>856</v>
      </c>
    </row>
    <row r="405" spans="1:9" ht="11.25" customHeight="1">
      <c r="A405" s="1776" t="s">
        <v>2248</v>
      </c>
      <c r="B405" s="1776" t="s">
        <v>16</v>
      </c>
      <c r="C405" s="1776" t="s">
        <v>3413</v>
      </c>
      <c r="D405" s="1776" t="s">
        <v>3414</v>
      </c>
      <c r="E405" s="1776" t="s">
        <v>3415</v>
      </c>
      <c r="F405" s="1776" t="s">
        <v>2364</v>
      </c>
      <c r="G405" s="1776" t="s">
        <v>22</v>
      </c>
      <c r="H405" s="1776" t="s">
        <v>22</v>
      </c>
      <c r="I405" s="1776" t="s">
        <v>856</v>
      </c>
    </row>
    <row r="406" spans="1:9" ht="11.25" customHeight="1">
      <c r="A406" s="1776" t="s">
        <v>2248</v>
      </c>
      <c r="B406" s="1776" t="s">
        <v>16</v>
      </c>
      <c r="C406" s="1776" t="s">
        <v>3416</v>
      </c>
      <c r="D406" s="1776" t="s">
        <v>3417</v>
      </c>
      <c r="E406" s="1776" t="s">
        <v>3418</v>
      </c>
      <c r="F406" s="1776" t="s">
        <v>2374</v>
      </c>
      <c r="G406" s="1776" t="s">
        <v>3419</v>
      </c>
      <c r="H406" s="1776" t="s">
        <v>22</v>
      </c>
      <c r="I406" s="1776" t="s">
        <v>856</v>
      </c>
    </row>
    <row r="407" spans="1:9" ht="11.25" customHeight="1">
      <c r="A407" s="1776" t="s">
        <v>2248</v>
      </c>
      <c r="B407" s="1776" t="s">
        <v>16</v>
      </c>
      <c r="C407" s="1776" t="s">
        <v>3420</v>
      </c>
      <c r="D407" s="1776" t="s">
        <v>3421</v>
      </c>
      <c r="E407" s="1776" t="s">
        <v>3422</v>
      </c>
      <c r="F407" s="1776" t="s">
        <v>2364</v>
      </c>
      <c r="G407" s="1776" t="s">
        <v>3423</v>
      </c>
      <c r="H407" s="1776" t="s">
        <v>22</v>
      </c>
      <c r="I407" s="1776" t="s">
        <v>856</v>
      </c>
    </row>
    <row r="408" spans="1:9" ht="11.25" customHeight="1">
      <c r="A408" s="1776" t="s">
        <v>2248</v>
      </c>
      <c r="B408" s="1776" t="s">
        <v>16</v>
      </c>
      <c r="C408" s="1776" t="s">
        <v>2555</v>
      </c>
      <c r="D408" s="1776" t="s">
        <v>2556</v>
      </c>
      <c r="E408" s="1776" t="s">
        <v>2557</v>
      </c>
      <c r="F408" s="1776" t="s">
        <v>2558</v>
      </c>
      <c r="G408" s="1776" t="s">
        <v>2559</v>
      </c>
      <c r="H408" s="1776" t="s">
        <v>2560</v>
      </c>
      <c r="I408" s="1776" t="s">
        <v>856</v>
      </c>
    </row>
    <row r="409" spans="1:9" ht="11.25" customHeight="1">
      <c r="A409" s="1776" t="s">
        <v>2248</v>
      </c>
      <c r="B409" s="1776" t="s">
        <v>16</v>
      </c>
      <c r="C409" s="1776" t="s">
        <v>3424</v>
      </c>
      <c r="D409" s="1776" t="s">
        <v>3425</v>
      </c>
      <c r="E409" s="1776" t="s">
        <v>3426</v>
      </c>
      <c r="F409" s="1776" t="s">
        <v>2386</v>
      </c>
      <c r="G409" s="1776" t="s">
        <v>22</v>
      </c>
      <c r="H409" s="1776" t="s">
        <v>22</v>
      </c>
      <c r="I409" s="1776" t="s">
        <v>856</v>
      </c>
    </row>
    <row r="410" spans="1:9" ht="11.25" customHeight="1">
      <c r="A410" s="1776" t="s">
        <v>2248</v>
      </c>
      <c r="B410" s="1776" t="s">
        <v>16</v>
      </c>
      <c r="C410" s="1776" t="s">
        <v>3427</v>
      </c>
      <c r="D410" s="1776" t="s">
        <v>3428</v>
      </c>
      <c r="E410" s="1776" t="s">
        <v>3429</v>
      </c>
      <c r="F410" s="1776" t="s">
        <v>2312</v>
      </c>
      <c r="G410" s="1776" t="s">
        <v>3430</v>
      </c>
      <c r="H410" s="1776" t="s">
        <v>22</v>
      </c>
      <c r="I410" s="1776" t="s">
        <v>856</v>
      </c>
    </row>
    <row r="411" spans="1:9" ht="11.25" customHeight="1">
      <c r="A411" s="1776" t="s">
        <v>2248</v>
      </c>
      <c r="B411" s="1776" t="s">
        <v>16</v>
      </c>
      <c r="C411" s="1776" t="s">
        <v>3431</v>
      </c>
      <c r="D411" s="1776" t="s">
        <v>3432</v>
      </c>
      <c r="E411" s="1776" t="s">
        <v>3433</v>
      </c>
      <c r="F411" s="1776" t="s">
        <v>2386</v>
      </c>
      <c r="G411" s="1776" t="s">
        <v>3434</v>
      </c>
      <c r="H411" s="1776" t="s">
        <v>22</v>
      </c>
      <c r="I411" s="1776" t="s">
        <v>856</v>
      </c>
    </row>
    <row r="412" spans="1:9" ht="11.25" customHeight="1">
      <c r="A412" s="1776" t="s">
        <v>2248</v>
      </c>
      <c r="B412" s="1776" t="s">
        <v>16</v>
      </c>
      <c r="C412" s="1776" t="s">
        <v>3435</v>
      </c>
      <c r="D412" s="1776" t="s">
        <v>3436</v>
      </c>
      <c r="E412" s="1776" t="s">
        <v>3437</v>
      </c>
      <c r="F412" s="1776" t="s">
        <v>2407</v>
      </c>
      <c r="G412" s="1776" t="s">
        <v>3438</v>
      </c>
      <c r="H412" s="1776" t="s">
        <v>22</v>
      </c>
      <c r="I412" s="1776" t="s">
        <v>856</v>
      </c>
    </row>
    <row r="413" spans="1:9" ht="11.25" customHeight="1">
      <c r="A413" s="1776" t="s">
        <v>2248</v>
      </c>
      <c r="B413" s="1776" t="s">
        <v>16</v>
      </c>
      <c r="C413" s="1776" t="s">
        <v>3439</v>
      </c>
      <c r="D413" s="1776" t="s">
        <v>3440</v>
      </c>
      <c r="E413" s="1776" t="s">
        <v>3441</v>
      </c>
      <c r="F413" s="1776" t="s">
        <v>2439</v>
      </c>
      <c r="G413" s="1776" t="s">
        <v>3442</v>
      </c>
      <c r="H413" s="1776" t="s">
        <v>22</v>
      </c>
      <c r="I413" s="1776" t="s">
        <v>856</v>
      </c>
    </row>
    <row r="414" spans="1:9" ht="11.25" customHeight="1">
      <c r="A414" s="1776" t="s">
        <v>2248</v>
      </c>
      <c r="B414" s="1776" t="s">
        <v>16</v>
      </c>
      <c r="C414" s="1776" t="s">
        <v>3443</v>
      </c>
      <c r="D414" s="1776" t="s">
        <v>3444</v>
      </c>
      <c r="E414" s="1776" t="s">
        <v>3445</v>
      </c>
      <c r="F414" s="1776" t="s">
        <v>2364</v>
      </c>
      <c r="G414" s="1776" t="s">
        <v>22</v>
      </c>
      <c r="H414" s="1776" t="s">
        <v>22</v>
      </c>
      <c r="I414" s="1776" t="s">
        <v>856</v>
      </c>
    </row>
    <row r="415" spans="1:9" ht="11.25" customHeight="1">
      <c r="A415" s="1776" t="s">
        <v>2248</v>
      </c>
      <c r="B415" s="1776" t="s">
        <v>16</v>
      </c>
      <c r="C415" s="1776" t="s">
        <v>2561</v>
      </c>
      <c r="D415" s="1776" t="s">
        <v>2562</v>
      </c>
      <c r="E415" s="1776" t="s">
        <v>2563</v>
      </c>
      <c r="F415" s="1776" t="s">
        <v>2553</v>
      </c>
      <c r="G415" s="1776" t="s">
        <v>2564</v>
      </c>
      <c r="H415" s="1776" t="s">
        <v>22</v>
      </c>
      <c r="I415" s="1776" t="s">
        <v>856</v>
      </c>
    </row>
    <row r="416" spans="1:9" ht="11.25" customHeight="1">
      <c r="A416" s="1776" t="s">
        <v>2248</v>
      </c>
      <c r="B416" s="1776" t="s">
        <v>16</v>
      </c>
      <c r="C416" s="1776" t="s">
        <v>3446</v>
      </c>
      <c r="D416" s="1776" t="s">
        <v>3447</v>
      </c>
      <c r="E416" s="1776" t="s">
        <v>3448</v>
      </c>
      <c r="F416" s="1776" t="s">
        <v>2553</v>
      </c>
      <c r="G416" s="1776" t="s">
        <v>22</v>
      </c>
      <c r="H416" s="1776" t="s">
        <v>22</v>
      </c>
      <c r="I416" s="1776" t="s">
        <v>856</v>
      </c>
    </row>
    <row r="417" spans="1:9" ht="11.25" customHeight="1">
      <c r="A417" s="1776" t="s">
        <v>2248</v>
      </c>
      <c r="B417" s="1776" t="s">
        <v>16</v>
      </c>
      <c r="C417" s="1776" t="s">
        <v>3449</v>
      </c>
      <c r="D417" s="1776" t="s">
        <v>3450</v>
      </c>
      <c r="E417" s="1776" t="s">
        <v>3451</v>
      </c>
      <c r="F417" s="1776" t="s">
        <v>2439</v>
      </c>
      <c r="G417" s="1776" t="s">
        <v>3452</v>
      </c>
      <c r="H417" s="1776" t="s">
        <v>22</v>
      </c>
      <c r="I417" s="1776" t="s">
        <v>856</v>
      </c>
    </row>
    <row r="418" spans="1:9" ht="11.25" customHeight="1">
      <c r="A418" s="1776" t="s">
        <v>2248</v>
      </c>
      <c r="B418" s="1776" t="s">
        <v>16</v>
      </c>
      <c r="C418" s="1776" t="s">
        <v>3453</v>
      </c>
      <c r="D418" s="1776" t="s">
        <v>3454</v>
      </c>
      <c r="E418" s="1776" t="s">
        <v>3455</v>
      </c>
      <c r="F418" s="1776" t="s">
        <v>2553</v>
      </c>
      <c r="G418" s="1776" t="s">
        <v>2267</v>
      </c>
      <c r="H418" s="1776" t="s">
        <v>3456</v>
      </c>
      <c r="I418" s="1776" t="s">
        <v>856</v>
      </c>
    </row>
    <row r="419" spans="1:9" ht="11.25" customHeight="1">
      <c r="A419" s="1776" t="s">
        <v>2248</v>
      </c>
      <c r="B419" s="1776" t="s">
        <v>16</v>
      </c>
      <c r="C419" s="1776" t="s">
        <v>3457</v>
      </c>
      <c r="D419" s="1776" t="s">
        <v>3458</v>
      </c>
      <c r="E419" s="1776" t="s">
        <v>3459</v>
      </c>
      <c r="F419" s="1776" t="s">
        <v>2364</v>
      </c>
      <c r="G419" s="1776" t="s">
        <v>3460</v>
      </c>
      <c r="H419" s="1776" t="s">
        <v>22</v>
      </c>
      <c r="I419" s="1776" t="s">
        <v>856</v>
      </c>
    </row>
    <row r="420" spans="1:9" ht="11.25" customHeight="1">
      <c r="A420" s="1776" t="s">
        <v>2248</v>
      </c>
      <c r="B420" s="1776" t="s">
        <v>16</v>
      </c>
      <c r="C420" s="1776" t="s">
        <v>3461</v>
      </c>
      <c r="D420" s="1776" t="s">
        <v>3462</v>
      </c>
      <c r="E420" s="1776" t="s">
        <v>3463</v>
      </c>
      <c r="F420" s="1776" t="s">
        <v>2547</v>
      </c>
      <c r="G420" s="1776" t="s">
        <v>3464</v>
      </c>
      <c r="H420" s="1776" t="s">
        <v>22</v>
      </c>
      <c r="I420" s="1776" t="s">
        <v>856</v>
      </c>
    </row>
    <row r="421" spans="1:9" ht="11.25" customHeight="1">
      <c r="A421" s="1776" t="s">
        <v>2248</v>
      </c>
      <c r="B421" s="1776" t="s">
        <v>16</v>
      </c>
      <c r="C421" s="1776" t="s">
        <v>3465</v>
      </c>
      <c r="D421" s="1776" t="s">
        <v>3466</v>
      </c>
      <c r="E421" s="1776" t="s">
        <v>3467</v>
      </c>
      <c r="F421" s="1776" t="s">
        <v>2386</v>
      </c>
      <c r="G421" s="1776" t="s">
        <v>22</v>
      </c>
      <c r="H421" s="1776" t="s">
        <v>22</v>
      </c>
      <c r="I421" s="1776" t="s">
        <v>856</v>
      </c>
    </row>
    <row r="422" spans="1:9" ht="11.25" customHeight="1">
      <c r="A422" s="1776" t="s">
        <v>2248</v>
      </c>
      <c r="B422" s="1776" t="s">
        <v>16</v>
      </c>
      <c r="C422" s="1776" t="s">
        <v>3468</v>
      </c>
      <c r="D422" s="1776" t="s">
        <v>3469</v>
      </c>
      <c r="E422" s="1776" t="s">
        <v>3470</v>
      </c>
      <c r="F422" s="1776" t="s">
        <v>2364</v>
      </c>
      <c r="G422" s="1776" t="s">
        <v>22</v>
      </c>
      <c r="H422" s="1776" t="s">
        <v>22</v>
      </c>
      <c r="I422" s="1776" t="s">
        <v>856</v>
      </c>
    </row>
    <row r="423" spans="1:9" ht="11.25" customHeight="1">
      <c r="A423" s="1776" t="s">
        <v>2248</v>
      </c>
      <c r="B423" s="1776" t="s">
        <v>16</v>
      </c>
      <c r="C423" s="1776" t="s">
        <v>2586</v>
      </c>
      <c r="D423" s="1776" t="s">
        <v>2587</v>
      </c>
      <c r="E423" s="1776" t="s">
        <v>2588</v>
      </c>
      <c r="F423" s="1776" t="s">
        <v>2335</v>
      </c>
      <c r="G423" s="1776" t="s">
        <v>2589</v>
      </c>
      <c r="H423" s="1776" t="s">
        <v>22</v>
      </c>
      <c r="I423" s="1776" t="s">
        <v>856</v>
      </c>
    </row>
    <row r="424" spans="1:9" ht="11.25" customHeight="1">
      <c r="A424" s="1776" t="s">
        <v>2248</v>
      </c>
      <c r="B424" s="1776" t="s">
        <v>16</v>
      </c>
      <c r="C424" s="1776" t="s">
        <v>2590</v>
      </c>
      <c r="D424" s="1776" t="s">
        <v>2591</v>
      </c>
      <c r="E424" s="1776" t="s">
        <v>2592</v>
      </c>
      <c r="F424" s="1776" t="s">
        <v>2335</v>
      </c>
      <c r="G424" s="1776" t="s">
        <v>2585</v>
      </c>
      <c r="H424" s="1776" t="s">
        <v>22</v>
      </c>
      <c r="I424" s="1776" t="s">
        <v>856</v>
      </c>
    </row>
    <row r="425" spans="1:9" ht="11.25" customHeight="1">
      <c r="A425" s="1776" t="s">
        <v>2248</v>
      </c>
      <c r="B425" s="1776" t="s">
        <v>16</v>
      </c>
      <c r="C425" s="1776" t="s">
        <v>2593</v>
      </c>
      <c r="D425" s="1776" t="s">
        <v>2594</v>
      </c>
      <c r="E425" s="1776" t="s">
        <v>2595</v>
      </c>
      <c r="F425" s="1776" t="s">
        <v>2596</v>
      </c>
      <c r="G425" s="1776" t="s">
        <v>2597</v>
      </c>
      <c r="H425" s="1776" t="s">
        <v>22</v>
      </c>
      <c r="I425" s="1776" t="s">
        <v>856</v>
      </c>
    </row>
    <row r="426" spans="1:9" ht="11.25" customHeight="1">
      <c r="A426" s="1776" t="s">
        <v>2248</v>
      </c>
      <c r="B426" s="1776" t="s">
        <v>16</v>
      </c>
      <c r="C426" s="1776" t="s">
        <v>2598</v>
      </c>
      <c r="D426" s="1776" t="s">
        <v>2599</v>
      </c>
      <c r="E426" s="1776" t="s">
        <v>2600</v>
      </c>
      <c r="F426" s="1776" t="s">
        <v>2335</v>
      </c>
      <c r="G426" s="1776" t="s">
        <v>2601</v>
      </c>
      <c r="H426" s="1776" t="s">
        <v>22</v>
      </c>
      <c r="I426" s="1776" t="s">
        <v>856</v>
      </c>
    </row>
    <row r="427" spans="1:9" ht="11.25" customHeight="1">
      <c r="A427" s="1776" t="s">
        <v>2248</v>
      </c>
      <c r="B427" s="1776" t="s">
        <v>16</v>
      </c>
      <c r="C427" s="1776" t="s">
        <v>3471</v>
      </c>
      <c r="D427" s="1776" t="s">
        <v>3472</v>
      </c>
      <c r="E427" s="1776" t="s">
        <v>3473</v>
      </c>
      <c r="F427" s="1776" t="s">
        <v>2439</v>
      </c>
      <c r="G427" s="1776" t="s">
        <v>3474</v>
      </c>
      <c r="H427" s="1776" t="s">
        <v>22</v>
      </c>
      <c r="I427" s="1776" t="s">
        <v>856</v>
      </c>
    </row>
    <row r="428" spans="1:9" ht="11.25" customHeight="1">
      <c r="A428" s="1776" t="s">
        <v>2248</v>
      </c>
      <c r="B428" s="1776" t="s">
        <v>16</v>
      </c>
      <c r="C428" s="1776" t="s">
        <v>3475</v>
      </c>
      <c r="D428" s="1776" t="s">
        <v>3476</v>
      </c>
      <c r="E428" s="1776" t="s">
        <v>3477</v>
      </c>
      <c r="F428" s="1776" t="s">
        <v>2553</v>
      </c>
      <c r="G428" s="1776" t="s">
        <v>3478</v>
      </c>
      <c r="H428" s="1776" t="s">
        <v>22</v>
      </c>
      <c r="I428" s="1776" t="s">
        <v>856</v>
      </c>
    </row>
    <row r="429" spans="1:9" ht="11.25" customHeight="1">
      <c r="A429" s="1776" t="s">
        <v>2248</v>
      </c>
      <c r="B429" s="1776" t="s">
        <v>16</v>
      </c>
      <c r="C429" s="1776" t="s">
        <v>3479</v>
      </c>
      <c r="D429" s="1776" t="s">
        <v>3480</v>
      </c>
      <c r="E429" s="1776" t="s">
        <v>3481</v>
      </c>
      <c r="F429" s="1776" t="s">
        <v>2488</v>
      </c>
      <c r="G429" s="1776" t="s">
        <v>3482</v>
      </c>
      <c r="H429" s="1776" t="s">
        <v>22</v>
      </c>
      <c r="I429" s="1776" t="s">
        <v>856</v>
      </c>
    </row>
    <row r="430" spans="1:9" ht="11.25" customHeight="1">
      <c r="A430" s="1776" t="s">
        <v>2248</v>
      </c>
      <c r="B430" s="1776" t="s">
        <v>16</v>
      </c>
      <c r="C430" s="1776" t="s">
        <v>3483</v>
      </c>
      <c r="D430" s="1776" t="s">
        <v>3484</v>
      </c>
      <c r="E430" s="1776" t="s">
        <v>3485</v>
      </c>
      <c r="F430" s="1776" t="s">
        <v>2553</v>
      </c>
      <c r="G430" s="1776" t="s">
        <v>22</v>
      </c>
      <c r="H430" s="1776" t="s">
        <v>22</v>
      </c>
      <c r="I430" s="1776" t="s">
        <v>856</v>
      </c>
    </row>
    <row r="431" spans="1:9" ht="11.25" customHeight="1">
      <c r="A431" s="1776" t="s">
        <v>2248</v>
      </c>
      <c r="B431" s="1776" t="s">
        <v>16</v>
      </c>
      <c r="C431" s="1776" t="s">
        <v>3486</v>
      </c>
      <c r="D431" s="1776" t="s">
        <v>3487</v>
      </c>
      <c r="E431" s="1776" t="s">
        <v>3488</v>
      </c>
      <c r="F431" s="1776" t="s">
        <v>2553</v>
      </c>
      <c r="G431" s="1776" t="s">
        <v>3489</v>
      </c>
      <c r="H431" s="1776" t="s">
        <v>3490</v>
      </c>
      <c r="I431" s="1776" t="s">
        <v>856</v>
      </c>
    </row>
    <row r="432" spans="1:9" ht="11.25" customHeight="1">
      <c r="A432" s="1776" t="s">
        <v>2248</v>
      </c>
      <c r="B432" s="1776" t="s">
        <v>16</v>
      </c>
      <c r="C432" s="1776" t="s">
        <v>3491</v>
      </c>
      <c r="D432" s="1776" t="s">
        <v>3492</v>
      </c>
      <c r="E432" s="1776" t="s">
        <v>3493</v>
      </c>
      <c r="F432" s="1776" t="s">
        <v>2364</v>
      </c>
      <c r="G432" s="1776" t="s">
        <v>3494</v>
      </c>
      <c r="H432" s="1776" t="s">
        <v>22</v>
      </c>
      <c r="I432" s="1776" t="s">
        <v>856</v>
      </c>
    </row>
    <row r="433" spans="1:9" ht="11.25" customHeight="1">
      <c r="A433" s="1776" t="s">
        <v>2248</v>
      </c>
      <c r="B433" s="1776" t="s">
        <v>16</v>
      </c>
      <c r="C433" s="1776" t="s">
        <v>3495</v>
      </c>
      <c r="D433" s="1776" t="s">
        <v>3496</v>
      </c>
      <c r="E433" s="1776" t="s">
        <v>3497</v>
      </c>
      <c r="F433" s="1776" t="s">
        <v>2321</v>
      </c>
      <c r="G433" s="1776" t="s">
        <v>3498</v>
      </c>
      <c r="H433" s="1776" t="s">
        <v>22</v>
      </c>
      <c r="I433" s="1776" t="s">
        <v>856</v>
      </c>
    </row>
    <row r="434" spans="1:9" ht="11.25" customHeight="1">
      <c r="A434" s="1776" t="s">
        <v>2248</v>
      </c>
      <c r="B434" s="1776" t="s">
        <v>16</v>
      </c>
      <c r="C434" s="1776" t="s">
        <v>2606</v>
      </c>
      <c r="D434" s="1776" t="s">
        <v>2607</v>
      </c>
      <c r="E434" s="1776" t="s">
        <v>2608</v>
      </c>
      <c r="F434" s="1776" t="s">
        <v>2609</v>
      </c>
      <c r="G434" s="1776" t="s">
        <v>2610</v>
      </c>
      <c r="H434" s="1776" t="s">
        <v>22</v>
      </c>
      <c r="I434" s="1776" t="s">
        <v>856</v>
      </c>
    </row>
    <row r="435" spans="1:9" ht="11.25" customHeight="1">
      <c r="A435" s="1776" t="s">
        <v>2248</v>
      </c>
      <c r="B435" s="1776" t="s">
        <v>16</v>
      </c>
      <c r="C435" s="1776" t="s">
        <v>3499</v>
      </c>
      <c r="D435" s="1776" t="s">
        <v>3500</v>
      </c>
      <c r="E435" s="1776" t="s">
        <v>3501</v>
      </c>
      <c r="F435" s="1776" t="s">
        <v>2596</v>
      </c>
      <c r="G435" s="1776" t="s">
        <v>22</v>
      </c>
      <c r="H435" s="1776" t="s">
        <v>22</v>
      </c>
      <c r="I435" s="1776" t="s">
        <v>856</v>
      </c>
    </row>
    <row r="436" spans="1:9" ht="11.25" customHeight="1">
      <c r="A436" s="1776" t="s">
        <v>2248</v>
      </c>
      <c r="B436" s="1776" t="s">
        <v>16</v>
      </c>
      <c r="C436" s="1776" t="s">
        <v>2611</v>
      </c>
      <c r="D436" s="1776" t="s">
        <v>2612</v>
      </c>
      <c r="E436" s="1776" t="s">
        <v>2613</v>
      </c>
      <c r="F436" s="1776" t="s">
        <v>2614</v>
      </c>
      <c r="G436" s="1776" t="s">
        <v>2615</v>
      </c>
      <c r="H436" s="1776" t="s">
        <v>2375</v>
      </c>
      <c r="I436" s="1776" t="s">
        <v>856</v>
      </c>
    </row>
    <row r="437" spans="1:9" ht="11.25" customHeight="1">
      <c r="A437" s="1776" t="s">
        <v>2248</v>
      </c>
      <c r="B437" s="1776" t="s">
        <v>16</v>
      </c>
      <c r="C437" s="1776" t="s">
        <v>3502</v>
      </c>
      <c r="D437" s="1776" t="s">
        <v>3503</v>
      </c>
      <c r="E437" s="1776" t="s">
        <v>3504</v>
      </c>
      <c r="F437" s="1776" t="s">
        <v>2430</v>
      </c>
      <c r="G437" s="1776" t="s">
        <v>22</v>
      </c>
      <c r="H437" s="1776" t="s">
        <v>22</v>
      </c>
      <c r="I437" s="1776" t="s">
        <v>856</v>
      </c>
    </row>
    <row r="438" spans="1:9" ht="11.25" customHeight="1">
      <c r="A438" s="1776" t="s">
        <v>2248</v>
      </c>
      <c r="B438" s="1776" t="s">
        <v>16</v>
      </c>
      <c r="C438" s="1776" t="s">
        <v>3505</v>
      </c>
      <c r="D438" s="1776" t="s">
        <v>3506</v>
      </c>
      <c r="E438" s="1776" t="s">
        <v>3507</v>
      </c>
      <c r="F438" s="1776" t="s">
        <v>2515</v>
      </c>
      <c r="G438" s="1776" t="s">
        <v>3508</v>
      </c>
      <c r="H438" s="1776" t="s">
        <v>22</v>
      </c>
      <c r="I438" s="1776" t="s">
        <v>856</v>
      </c>
    </row>
    <row r="439" spans="1:9" ht="11.25" customHeight="1">
      <c r="A439" s="1776" t="s">
        <v>2248</v>
      </c>
      <c r="B439" s="1776" t="s">
        <v>16</v>
      </c>
      <c r="C439" s="1776" t="s">
        <v>3509</v>
      </c>
      <c r="D439" s="1776" t="s">
        <v>3510</v>
      </c>
      <c r="E439" s="1776" t="s">
        <v>3511</v>
      </c>
      <c r="F439" s="1776" t="s">
        <v>2515</v>
      </c>
      <c r="G439" s="1776" t="s">
        <v>3512</v>
      </c>
      <c r="H439" s="1776" t="s">
        <v>22</v>
      </c>
      <c r="I439" s="1776" t="s">
        <v>856</v>
      </c>
    </row>
    <row r="440" spans="1:9" ht="11.25" customHeight="1">
      <c r="A440" s="1776" t="s">
        <v>2248</v>
      </c>
      <c r="B440" s="1776" t="s">
        <v>16</v>
      </c>
      <c r="C440" s="1776" t="s">
        <v>3513</v>
      </c>
      <c r="D440" s="1776" t="s">
        <v>3514</v>
      </c>
      <c r="E440" s="1776" t="s">
        <v>3515</v>
      </c>
      <c r="F440" s="1776" t="s">
        <v>2497</v>
      </c>
      <c r="G440" s="1776" t="s">
        <v>22</v>
      </c>
      <c r="H440" s="1776" t="s">
        <v>22</v>
      </c>
      <c r="I440" s="1776" t="s">
        <v>856</v>
      </c>
    </row>
    <row r="441" spans="1:9" ht="11.25" customHeight="1">
      <c r="A441" s="1776" t="s">
        <v>2248</v>
      </c>
      <c r="B441" s="1776" t="s">
        <v>16</v>
      </c>
      <c r="C441" s="1776" t="s">
        <v>3516</v>
      </c>
      <c r="D441" s="1776" t="s">
        <v>3517</v>
      </c>
      <c r="E441" s="1776" t="s">
        <v>3518</v>
      </c>
      <c r="F441" s="1776" t="s">
        <v>2657</v>
      </c>
      <c r="G441" s="1776" t="s">
        <v>3519</v>
      </c>
      <c r="H441" s="1776" t="s">
        <v>22</v>
      </c>
      <c r="I441" s="1776" t="s">
        <v>856</v>
      </c>
    </row>
    <row r="442" spans="1:9" ht="11.25" customHeight="1">
      <c r="A442" s="1776" t="s">
        <v>2248</v>
      </c>
      <c r="B442" s="1776" t="s">
        <v>16</v>
      </c>
      <c r="C442" s="1776" t="s">
        <v>3520</v>
      </c>
      <c r="D442" s="1776" t="s">
        <v>3521</v>
      </c>
      <c r="E442" s="1776" t="s">
        <v>3522</v>
      </c>
      <c r="F442" s="1776" t="s">
        <v>2577</v>
      </c>
      <c r="G442" s="1776" t="s">
        <v>3523</v>
      </c>
      <c r="H442" s="1776" t="s">
        <v>22</v>
      </c>
      <c r="I442" s="1776" t="s">
        <v>856</v>
      </c>
    </row>
    <row r="443" spans="1:9" ht="11.25" customHeight="1">
      <c r="A443" s="1776" t="s">
        <v>2248</v>
      </c>
      <c r="B443" s="1776" t="s">
        <v>16</v>
      </c>
      <c r="C443" s="1776" t="s">
        <v>3524</v>
      </c>
      <c r="D443" s="1776" t="s">
        <v>3525</v>
      </c>
      <c r="E443" s="1776" t="s">
        <v>3526</v>
      </c>
      <c r="F443" s="1776" t="s">
        <v>2321</v>
      </c>
      <c r="G443" s="1776" t="s">
        <v>22</v>
      </c>
      <c r="H443" s="1776" t="s">
        <v>22</v>
      </c>
      <c r="I443" s="1776" t="s">
        <v>856</v>
      </c>
    </row>
    <row r="444" spans="1:9" ht="11.25" customHeight="1">
      <c r="A444" s="1776" t="s">
        <v>2248</v>
      </c>
      <c r="B444" s="1776" t="s">
        <v>16</v>
      </c>
      <c r="C444" s="1776" t="s">
        <v>3527</v>
      </c>
      <c r="D444" s="1776" t="s">
        <v>3528</v>
      </c>
      <c r="E444" s="1776" t="s">
        <v>3529</v>
      </c>
      <c r="F444" s="1776" t="s">
        <v>2321</v>
      </c>
      <c r="G444" s="1776" t="s">
        <v>3530</v>
      </c>
      <c r="H444" s="1776" t="s">
        <v>22</v>
      </c>
      <c r="I444" s="1776" t="s">
        <v>856</v>
      </c>
    </row>
    <row r="445" spans="1:9" ht="11.25" customHeight="1">
      <c r="A445" s="1776" t="s">
        <v>2248</v>
      </c>
      <c r="B445" s="1776" t="s">
        <v>16</v>
      </c>
      <c r="C445" s="1776" t="s">
        <v>3531</v>
      </c>
      <c r="D445" s="1776" t="s">
        <v>3532</v>
      </c>
      <c r="E445" s="1776" t="s">
        <v>3533</v>
      </c>
      <c r="F445" s="1776" t="s">
        <v>2497</v>
      </c>
      <c r="G445" s="1776" t="s">
        <v>3534</v>
      </c>
      <c r="H445" s="1776" t="s">
        <v>22</v>
      </c>
      <c r="I445" s="1776" t="s">
        <v>856</v>
      </c>
    </row>
    <row r="446" spans="1:9" ht="11.25" customHeight="1">
      <c r="A446" s="1776" t="s">
        <v>2248</v>
      </c>
      <c r="B446" s="1776" t="s">
        <v>16</v>
      </c>
      <c r="C446" s="1776" t="s">
        <v>3535</v>
      </c>
      <c r="D446" s="1776" t="s">
        <v>3536</v>
      </c>
      <c r="E446" s="1776" t="s">
        <v>3537</v>
      </c>
      <c r="F446" s="1776" t="s">
        <v>2577</v>
      </c>
      <c r="G446" s="1776" t="s">
        <v>22</v>
      </c>
      <c r="H446" s="1776" t="s">
        <v>22</v>
      </c>
      <c r="I446" s="1776" t="s">
        <v>856</v>
      </c>
    </row>
    <row r="447" spans="1:9" ht="11.25" customHeight="1">
      <c r="A447" s="1776" t="s">
        <v>2248</v>
      </c>
      <c r="B447" s="1776" t="s">
        <v>16</v>
      </c>
      <c r="C447" s="1776" t="s">
        <v>3538</v>
      </c>
      <c r="D447" s="1776" t="s">
        <v>3539</v>
      </c>
      <c r="E447" s="1776" t="s">
        <v>3540</v>
      </c>
      <c r="F447" s="1776" t="s">
        <v>2577</v>
      </c>
      <c r="G447" s="1776" t="s">
        <v>22</v>
      </c>
      <c r="H447" s="1776" t="s">
        <v>22</v>
      </c>
      <c r="I447" s="1776" t="s">
        <v>856</v>
      </c>
    </row>
    <row r="448" spans="1:9" ht="11.25" customHeight="1">
      <c r="A448" s="1776" t="s">
        <v>2248</v>
      </c>
      <c r="B448" s="1776" t="s">
        <v>16</v>
      </c>
      <c r="C448" s="1776" t="s">
        <v>3541</v>
      </c>
      <c r="D448" s="1776" t="s">
        <v>3542</v>
      </c>
      <c r="E448" s="1776" t="s">
        <v>3543</v>
      </c>
      <c r="F448" s="1776" t="s">
        <v>2657</v>
      </c>
      <c r="G448" s="1776" t="s">
        <v>3544</v>
      </c>
      <c r="H448" s="1776" t="s">
        <v>22</v>
      </c>
      <c r="I448" s="1776" t="s">
        <v>856</v>
      </c>
    </row>
    <row r="449" spans="1:9" ht="11.25" customHeight="1">
      <c r="A449" s="1776" t="s">
        <v>2248</v>
      </c>
      <c r="B449" s="1776" t="s">
        <v>16</v>
      </c>
      <c r="C449" s="1776" t="s">
        <v>3545</v>
      </c>
      <c r="D449" s="1776" t="s">
        <v>3546</v>
      </c>
      <c r="E449" s="1776" t="s">
        <v>3547</v>
      </c>
      <c r="F449" s="1776" t="s">
        <v>2497</v>
      </c>
      <c r="G449" s="1776" t="s">
        <v>3548</v>
      </c>
      <c r="H449" s="1776" t="s">
        <v>22</v>
      </c>
      <c r="I449" s="1776" t="s">
        <v>856</v>
      </c>
    </row>
    <row r="450" spans="1:9" ht="11.25" customHeight="1">
      <c r="A450" s="1776" t="s">
        <v>2248</v>
      </c>
      <c r="B450" s="1776" t="s">
        <v>16</v>
      </c>
      <c r="C450" s="1776" t="s">
        <v>3549</v>
      </c>
      <c r="D450" s="1776" t="s">
        <v>3550</v>
      </c>
      <c r="E450" s="1776" t="s">
        <v>3551</v>
      </c>
      <c r="F450" s="1776" t="s">
        <v>2497</v>
      </c>
      <c r="G450" s="1776" t="s">
        <v>3552</v>
      </c>
      <c r="H450" s="1776" t="s">
        <v>22</v>
      </c>
      <c r="I450" s="1776" t="s">
        <v>856</v>
      </c>
    </row>
    <row r="451" spans="1:9" ht="11.25" customHeight="1">
      <c r="A451" s="1776" t="s">
        <v>2248</v>
      </c>
      <c r="B451" s="1776" t="s">
        <v>16</v>
      </c>
      <c r="C451" s="1776" t="s">
        <v>3553</v>
      </c>
      <c r="D451" s="1776" t="s">
        <v>3554</v>
      </c>
      <c r="E451" s="1776" t="s">
        <v>3555</v>
      </c>
      <c r="F451" s="1776" t="s">
        <v>2497</v>
      </c>
      <c r="G451" s="1776" t="s">
        <v>22</v>
      </c>
      <c r="H451" s="1776" t="s">
        <v>22</v>
      </c>
      <c r="I451" s="1776" t="s">
        <v>856</v>
      </c>
    </row>
    <row r="452" spans="1:9" ht="11.25" customHeight="1">
      <c r="A452" s="1776" t="s">
        <v>2248</v>
      </c>
      <c r="B452" s="1776" t="s">
        <v>16</v>
      </c>
      <c r="C452" s="1776" t="s">
        <v>3556</v>
      </c>
      <c r="D452" s="1776" t="s">
        <v>3557</v>
      </c>
      <c r="E452" s="1776" t="s">
        <v>3558</v>
      </c>
      <c r="F452" s="1776" t="s">
        <v>2425</v>
      </c>
      <c r="G452" s="1776" t="s">
        <v>22</v>
      </c>
      <c r="H452" s="1776" t="s">
        <v>22</v>
      </c>
      <c r="I452" s="1776" t="s">
        <v>856</v>
      </c>
    </row>
    <row r="453" spans="1:9" ht="11.25" customHeight="1">
      <c r="A453" s="1776" t="s">
        <v>2248</v>
      </c>
      <c r="B453" s="1776" t="s">
        <v>16</v>
      </c>
      <c r="C453" s="1776" t="s">
        <v>3559</v>
      </c>
      <c r="D453" s="1776" t="s">
        <v>3560</v>
      </c>
      <c r="E453" s="1776" t="s">
        <v>3561</v>
      </c>
      <c r="F453" s="1776" t="s">
        <v>2553</v>
      </c>
      <c r="G453" s="1776" t="s">
        <v>22</v>
      </c>
      <c r="H453" s="1776" t="s">
        <v>22</v>
      </c>
      <c r="I453" s="1776" t="s">
        <v>856</v>
      </c>
    </row>
    <row r="454" spans="1:9" ht="11.25" customHeight="1">
      <c r="A454" s="1776" t="s">
        <v>2248</v>
      </c>
      <c r="B454" s="1776" t="s">
        <v>16</v>
      </c>
      <c r="C454" s="1776" t="s">
        <v>3562</v>
      </c>
      <c r="D454" s="1776" t="s">
        <v>3563</v>
      </c>
      <c r="E454" s="1776" t="s">
        <v>3564</v>
      </c>
      <c r="F454" s="1776" t="s">
        <v>2497</v>
      </c>
      <c r="G454" s="1776" t="s">
        <v>3565</v>
      </c>
      <c r="H454" s="1776" t="s">
        <v>22</v>
      </c>
      <c r="I454" s="1776" t="s">
        <v>856</v>
      </c>
    </row>
    <row r="455" spans="1:9" ht="11.25" customHeight="1">
      <c r="A455" s="1776" t="s">
        <v>2248</v>
      </c>
      <c r="B455" s="1776" t="s">
        <v>16</v>
      </c>
      <c r="C455" s="1776" t="s">
        <v>3566</v>
      </c>
      <c r="D455" s="1776" t="s">
        <v>3563</v>
      </c>
      <c r="E455" s="1776" t="s">
        <v>3567</v>
      </c>
      <c r="F455" s="1776" t="s">
        <v>2444</v>
      </c>
      <c r="G455" s="1776" t="s">
        <v>22</v>
      </c>
      <c r="H455" s="1776" t="s">
        <v>22</v>
      </c>
      <c r="I455" s="1776" t="s">
        <v>856</v>
      </c>
    </row>
    <row r="456" spans="1:9" ht="11.25" customHeight="1">
      <c r="A456" s="1776" t="s">
        <v>2248</v>
      </c>
      <c r="B456" s="1776" t="s">
        <v>16</v>
      </c>
      <c r="C456" s="1776" t="s">
        <v>3568</v>
      </c>
      <c r="D456" s="1776" t="s">
        <v>3569</v>
      </c>
      <c r="E456" s="1776" t="s">
        <v>3570</v>
      </c>
      <c r="F456" s="1776" t="s">
        <v>2425</v>
      </c>
      <c r="G456" s="1776" t="s">
        <v>22</v>
      </c>
      <c r="H456" s="1776" t="s">
        <v>22</v>
      </c>
      <c r="I456" s="1776" t="s">
        <v>856</v>
      </c>
    </row>
    <row r="457" spans="1:9" ht="11.25" customHeight="1">
      <c r="A457" s="1776" t="s">
        <v>2248</v>
      </c>
      <c r="B457" s="1776" t="s">
        <v>16</v>
      </c>
      <c r="C457" s="1776" t="s">
        <v>3571</v>
      </c>
      <c r="D457" s="1776" t="s">
        <v>3572</v>
      </c>
      <c r="E457" s="1776" t="s">
        <v>3573</v>
      </c>
      <c r="F457" s="1776" t="s">
        <v>2299</v>
      </c>
      <c r="G457" s="1776" t="s">
        <v>22</v>
      </c>
      <c r="H457" s="1776" t="s">
        <v>22</v>
      </c>
      <c r="I457" s="1776" t="s">
        <v>856</v>
      </c>
    </row>
    <row r="458" spans="1:9" ht="11.25" customHeight="1">
      <c r="A458" s="1776" t="s">
        <v>2248</v>
      </c>
      <c r="B458" s="1776" t="s">
        <v>16</v>
      </c>
      <c r="C458" s="1776" t="s">
        <v>3574</v>
      </c>
      <c r="D458" s="1776" t="s">
        <v>3575</v>
      </c>
      <c r="E458" s="1776" t="s">
        <v>3576</v>
      </c>
      <c r="F458" s="1776" t="s">
        <v>2425</v>
      </c>
      <c r="G458" s="1776" t="s">
        <v>3577</v>
      </c>
      <c r="H458" s="1776" t="s">
        <v>22</v>
      </c>
      <c r="I458" s="1776" t="s">
        <v>856</v>
      </c>
    </row>
    <row r="459" spans="1:9" ht="11.25" customHeight="1">
      <c r="A459" s="1776" t="s">
        <v>2248</v>
      </c>
      <c r="B459" s="1776" t="s">
        <v>16</v>
      </c>
      <c r="C459" s="1776" t="s">
        <v>3578</v>
      </c>
      <c r="D459" s="1776" t="s">
        <v>3579</v>
      </c>
      <c r="E459" s="1776" t="s">
        <v>3580</v>
      </c>
      <c r="F459" s="1776" t="s">
        <v>2497</v>
      </c>
      <c r="G459" s="1776" t="s">
        <v>2671</v>
      </c>
      <c r="H459" s="1776" t="s">
        <v>22</v>
      </c>
      <c r="I459" s="1776" t="s">
        <v>856</v>
      </c>
    </row>
    <row r="460" spans="1:9" ht="11.25" customHeight="1">
      <c r="A460" s="1776" t="s">
        <v>2248</v>
      </c>
      <c r="B460" s="1776" t="s">
        <v>16</v>
      </c>
      <c r="C460" s="1776" t="s">
        <v>3581</v>
      </c>
      <c r="D460" s="1776" t="s">
        <v>3582</v>
      </c>
      <c r="E460" s="1776" t="s">
        <v>3583</v>
      </c>
      <c r="F460" s="1776" t="s">
        <v>2497</v>
      </c>
      <c r="G460" s="1776" t="s">
        <v>3584</v>
      </c>
      <c r="H460" s="1776" t="s">
        <v>22</v>
      </c>
      <c r="I460" s="1776" t="s">
        <v>856</v>
      </c>
    </row>
    <row r="461" spans="1:9" ht="11.25" customHeight="1">
      <c r="A461" s="1776" t="s">
        <v>2248</v>
      </c>
      <c r="B461" s="1776" t="s">
        <v>16</v>
      </c>
      <c r="C461" s="1776" t="s">
        <v>3585</v>
      </c>
      <c r="D461" s="1776" t="s">
        <v>3586</v>
      </c>
      <c r="E461" s="1776" t="s">
        <v>3587</v>
      </c>
      <c r="F461" s="1776" t="s">
        <v>2412</v>
      </c>
      <c r="G461" s="1776" t="s">
        <v>22</v>
      </c>
      <c r="H461" s="1776" t="s">
        <v>22</v>
      </c>
      <c r="I461" s="1776" t="s">
        <v>856</v>
      </c>
    </row>
    <row r="462" spans="1:9" ht="11.25" customHeight="1">
      <c r="A462" s="1776" t="s">
        <v>2248</v>
      </c>
      <c r="B462" s="1776" t="s">
        <v>16</v>
      </c>
      <c r="C462" s="1776" t="s">
        <v>3588</v>
      </c>
      <c r="D462" s="1776" t="s">
        <v>3589</v>
      </c>
      <c r="E462" s="1776" t="s">
        <v>3590</v>
      </c>
      <c r="F462" s="1776" t="s">
        <v>2497</v>
      </c>
      <c r="G462" s="1776" t="s">
        <v>3591</v>
      </c>
      <c r="H462" s="1776" t="s">
        <v>22</v>
      </c>
      <c r="I462" s="1776" t="s">
        <v>856</v>
      </c>
    </row>
    <row r="463" spans="1:9" ht="11.25" customHeight="1">
      <c r="A463" s="1776" t="s">
        <v>2248</v>
      </c>
      <c r="B463" s="1776" t="s">
        <v>16</v>
      </c>
      <c r="C463" s="1776" t="s">
        <v>3592</v>
      </c>
      <c r="D463" s="1776" t="s">
        <v>3593</v>
      </c>
      <c r="E463" s="1776" t="s">
        <v>3594</v>
      </c>
      <c r="F463" s="1776" t="s">
        <v>2425</v>
      </c>
      <c r="G463" s="1776" t="s">
        <v>22</v>
      </c>
      <c r="H463" s="1776" t="s">
        <v>22</v>
      </c>
      <c r="I463" s="1776" t="s">
        <v>856</v>
      </c>
    </row>
    <row r="464" spans="1:9" ht="11.25" customHeight="1">
      <c r="A464" s="1776" t="s">
        <v>2248</v>
      </c>
      <c r="B464" s="1776" t="s">
        <v>16</v>
      </c>
      <c r="C464" s="1776" t="s">
        <v>3595</v>
      </c>
      <c r="D464" s="1776" t="s">
        <v>3596</v>
      </c>
      <c r="E464" s="1776" t="s">
        <v>3597</v>
      </c>
      <c r="F464" s="1776" t="s">
        <v>2425</v>
      </c>
      <c r="G464" s="1776" t="s">
        <v>22</v>
      </c>
      <c r="H464" s="1776" t="s">
        <v>22</v>
      </c>
      <c r="I464" s="1776" t="s">
        <v>856</v>
      </c>
    </row>
    <row r="465" spans="1:9" ht="11.25" customHeight="1">
      <c r="A465" s="1776" t="s">
        <v>2248</v>
      </c>
      <c r="B465" s="1776" t="s">
        <v>16</v>
      </c>
      <c r="C465" s="1776" t="s">
        <v>3598</v>
      </c>
      <c r="D465" s="1776" t="s">
        <v>3599</v>
      </c>
      <c r="E465" s="1776" t="s">
        <v>3600</v>
      </c>
      <c r="F465" s="1776" t="s">
        <v>2488</v>
      </c>
      <c r="G465" s="1776" t="s">
        <v>22</v>
      </c>
      <c r="H465" s="1776" t="s">
        <v>22</v>
      </c>
      <c r="I465" s="1776" t="s">
        <v>856</v>
      </c>
    </row>
    <row r="466" spans="1:9" ht="11.25" customHeight="1">
      <c r="A466" s="1776" t="s">
        <v>2248</v>
      </c>
      <c r="B466" s="1776" t="s">
        <v>16</v>
      </c>
      <c r="C466" s="1776" t="s">
        <v>3601</v>
      </c>
      <c r="D466" s="1776" t="s">
        <v>3602</v>
      </c>
      <c r="E466" s="1776" t="s">
        <v>3603</v>
      </c>
      <c r="F466" s="1776" t="s">
        <v>2497</v>
      </c>
      <c r="G466" s="1776" t="s">
        <v>3604</v>
      </c>
      <c r="H466" s="1776" t="s">
        <v>22</v>
      </c>
      <c r="I466" s="1776" t="s">
        <v>856</v>
      </c>
    </row>
    <row r="467" spans="1:9" ht="11.25" customHeight="1">
      <c r="A467" s="1776" t="s">
        <v>2248</v>
      </c>
      <c r="B467" s="1776" t="s">
        <v>16</v>
      </c>
      <c r="C467" s="1776" t="s">
        <v>3605</v>
      </c>
      <c r="D467" s="1776" t="s">
        <v>3606</v>
      </c>
      <c r="E467" s="1776" t="s">
        <v>3607</v>
      </c>
      <c r="F467" s="1776" t="s">
        <v>2412</v>
      </c>
      <c r="G467" s="1776" t="s">
        <v>22</v>
      </c>
      <c r="H467" s="1776" t="s">
        <v>22</v>
      </c>
      <c r="I467" s="1776" t="s">
        <v>856</v>
      </c>
    </row>
    <row r="468" spans="1:9" ht="11.25" customHeight="1">
      <c r="A468" s="1776" t="s">
        <v>2248</v>
      </c>
      <c r="B468" s="1776" t="s">
        <v>16</v>
      </c>
      <c r="C468" s="1776" t="s">
        <v>3608</v>
      </c>
      <c r="D468" s="1776" t="s">
        <v>3606</v>
      </c>
      <c r="E468" s="1776" t="s">
        <v>3609</v>
      </c>
      <c r="F468" s="1776" t="s">
        <v>2497</v>
      </c>
      <c r="G468" s="1776" t="s">
        <v>3610</v>
      </c>
      <c r="H468" s="1776" t="s">
        <v>22</v>
      </c>
      <c r="I468" s="1776" t="s">
        <v>856</v>
      </c>
    </row>
    <row r="469" spans="1:9" ht="11.25" customHeight="1">
      <c r="A469" s="1776" t="s">
        <v>2248</v>
      </c>
      <c r="B469" s="1776" t="s">
        <v>16</v>
      </c>
      <c r="C469" s="1776" t="s">
        <v>3611</v>
      </c>
      <c r="D469" s="1776" t="s">
        <v>3612</v>
      </c>
      <c r="E469" s="1776" t="s">
        <v>3613</v>
      </c>
      <c r="F469" s="1776" t="s">
        <v>2609</v>
      </c>
      <c r="G469" s="1776" t="s">
        <v>3614</v>
      </c>
      <c r="H469" s="1776" t="s">
        <v>2680</v>
      </c>
      <c r="I469" s="1776" t="s">
        <v>856</v>
      </c>
    </row>
    <row r="470" spans="1:9" ht="11.25" customHeight="1">
      <c r="A470" s="1776" t="s">
        <v>2248</v>
      </c>
      <c r="B470" s="1776" t="s">
        <v>16</v>
      </c>
      <c r="C470" s="1776" t="s">
        <v>3615</v>
      </c>
      <c r="D470" s="1776" t="s">
        <v>3616</v>
      </c>
      <c r="E470" s="1776" t="s">
        <v>3617</v>
      </c>
      <c r="F470" s="1776" t="s">
        <v>2643</v>
      </c>
      <c r="G470" s="1776" t="s">
        <v>3618</v>
      </c>
      <c r="H470" s="1776" t="s">
        <v>22</v>
      </c>
      <c r="I470" s="1776" t="s">
        <v>856</v>
      </c>
    </row>
    <row r="471" spans="1:9" ht="11.25" customHeight="1">
      <c r="A471" s="1776" t="s">
        <v>2248</v>
      </c>
      <c r="B471" s="1776" t="s">
        <v>16</v>
      </c>
      <c r="C471" s="1776" t="s">
        <v>2636</v>
      </c>
      <c r="D471" s="1776" t="s">
        <v>2637</v>
      </c>
      <c r="E471" s="1776" t="s">
        <v>2638</v>
      </c>
      <c r="F471" s="1776" t="s">
        <v>2335</v>
      </c>
      <c r="G471" s="1776" t="s">
        <v>2639</v>
      </c>
      <c r="H471" s="1776" t="s">
        <v>22</v>
      </c>
      <c r="I471" s="1776" t="s">
        <v>856</v>
      </c>
    </row>
    <row r="472" spans="1:9" ht="11.25" customHeight="1">
      <c r="A472" s="1776" t="s">
        <v>2248</v>
      </c>
      <c r="B472" s="1776" t="s">
        <v>16</v>
      </c>
      <c r="C472" s="1776" t="s">
        <v>2640</v>
      </c>
      <c r="D472" s="1776" t="s">
        <v>2641</v>
      </c>
      <c r="E472" s="1776" t="s">
        <v>2642</v>
      </c>
      <c r="F472" s="1776" t="s">
        <v>2643</v>
      </c>
      <c r="G472" s="1776" t="s">
        <v>2644</v>
      </c>
      <c r="H472" s="1776" t="s">
        <v>22</v>
      </c>
      <c r="I472" s="1776" t="s">
        <v>856</v>
      </c>
    </row>
    <row r="473" spans="1:9" ht="11.25" customHeight="1">
      <c r="A473" s="1776" t="s">
        <v>2248</v>
      </c>
      <c r="B473" s="1776" t="s">
        <v>16</v>
      </c>
      <c r="C473" s="1776" t="s">
        <v>3619</v>
      </c>
      <c r="D473" s="1776" t="s">
        <v>3620</v>
      </c>
      <c r="E473" s="1776" t="s">
        <v>3621</v>
      </c>
      <c r="F473" s="1776" t="s">
        <v>3622</v>
      </c>
      <c r="G473" s="1776" t="s">
        <v>2997</v>
      </c>
      <c r="H473" s="1776" t="s">
        <v>22</v>
      </c>
      <c r="I473" s="1776" t="s">
        <v>856</v>
      </c>
    </row>
    <row r="474" spans="1:9" ht="11.25" customHeight="1">
      <c r="A474" s="1776" t="s">
        <v>2248</v>
      </c>
      <c r="B474" s="1776" t="s">
        <v>16</v>
      </c>
      <c r="C474" s="1776" t="s">
        <v>3623</v>
      </c>
      <c r="D474" s="1776" t="s">
        <v>3624</v>
      </c>
      <c r="E474" s="1776" t="s">
        <v>3625</v>
      </c>
      <c r="F474" s="1776" t="s">
        <v>2374</v>
      </c>
      <c r="G474" s="1776" t="s">
        <v>3626</v>
      </c>
      <c r="H474" s="1776" t="s">
        <v>22</v>
      </c>
      <c r="I474" s="1776" t="s">
        <v>856</v>
      </c>
    </row>
    <row r="475" spans="1:9" ht="11.25" customHeight="1">
      <c r="A475" s="1776" t="s">
        <v>2248</v>
      </c>
      <c r="B475" s="1776" t="s">
        <v>16</v>
      </c>
      <c r="C475" s="1776" t="s">
        <v>2650</v>
      </c>
      <c r="D475" s="1776" t="s">
        <v>2651</v>
      </c>
      <c r="E475" s="1776" t="s">
        <v>2652</v>
      </c>
      <c r="F475" s="1776" t="s">
        <v>2653</v>
      </c>
      <c r="G475" s="1776" t="s">
        <v>22</v>
      </c>
      <c r="H475" s="1776" t="s">
        <v>22</v>
      </c>
      <c r="I475" s="1776" t="s">
        <v>856</v>
      </c>
    </row>
    <row r="476" spans="1:9" ht="11.25" customHeight="1">
      <c r="A476" s="1776" t="s">
        <v>2248</v>
      </c>
      <c r="B476" s="1776" t="s">
        <v>16</v>
      </c>
      <c r="C476" s="1776" t="s">
        <v>3627</v>
      </c>
      <c r="D476" s="1776" t="s">
        <v>3628</v>
      </c>
      <c r="E476" s="1776" t="s">
        <v>3629</v>
      </c>
      <c r="F476" s="1776" t="s">
        <v>2584</v>
      </c>
      <c r="G476" s="1776" t="s">
        <v>3630</v>
      </c>
      <c r="H476" s="1776" t="s">
        <v>22</v>
      </c>
      <c r="I476" s="1776" t="s">
        <v>856</v>
      </c>
    </row>
    <row r="477" spans="1:9" ht="11.25" customHeight="1">
      <c r="A477" s="1776" t="s">
        <v>2248</v>
      </c>
      <c r="B477" s="1776" t="s">
        <v>16</v>
      </c>
      <c r="C477" s="1776" t="s">
        <v>2654</v>
      </c>
      <c r="D477" s="1776" t="s">
        <v>2655</v>
      </c>
      <c r="E477" s="1776" t="s">
        <v>2656</v>
      </c>
      <c r="F477" s="1776" t="s">
        <v>2657</v>
      </c>
      <c r="G477" s="1776" t="s">
        <v>2658</v>
      </c>
      <c r="H477" s="1776" t="s">
        <v>22</v>
      </c>
      <c r="I477" s="1776" t="s">
        <v>856</v>
      </c>
    </row>
    <row r="478" spans="1:9" ht="11.25" customHeight="1">
      <c r="A478" s="1776" t="s">
        <v>2248</v>
      </c>
      <c r="B478" s="1776" t="s">
        <v>16</v>
      </c>
      <c r="C478" s="1776" t="s">
        <v>2664</v>
      </c>
      <c r="D478" s="1776" t="s">
        <v>2665</v>
      </c>
      <c r="E478" s="1776" t="s">
        <v>2666</v>
      </c>
      <c r="F478" s="1776" t="s">
        <v>2648</v>
      </c>
      <c r="G478" s="1776" t="s">
        <v>2667</v>
      </c>
      <c r="H478" s="1776" t="s">
        <v>22</v>
      </c>
      <c r="I478" s="1776" t="s">
        <v>856</v>
      </c>
    </row>
    <row r="479" spans="1:9" ht="11.25" customHeight="1">
      <c r="A479" s="1776" t="s">
        <v>2248</v>
      </c>
      <c r="B479" s="1776" t="s">
        <v>16</v>
      </c>
      <c r="C479" s="1776" t="s">
        <v>3631</v>
      </c>
      <c r="D479" s="1776" t="s">
        <v>3632</v>
      </c>
      <c r="E479" s="1776" t="s">
        <v>3633</v>
      </c>
      <c r="F479" s="1776" t="s">
        <v>2256</v>
      </c>
      <c r="G479" s="1776" t="s">
        <v>3634</v>
      </c>
      <c r="H479" s="1776" t="s">
        <v>22</v>
      </c>
      <c r="I479" s="1776" t="s">
        <v>856</v>
      </c>
    </row>
    <row r="480" spans="1:9" ht="11.25" customHeight="1">
      <c r="A480" s="1776" t="s">
        <v>2248</v>
      </c>
      <c r="B480" s="1776" t="s">
        <v>16</v>
      </c>
      <c r="C480" s="1776" t="s">
        <v>3635</v>
      </c>
      <c r="D480" s="1776" t="s">
        <v>3636</v>
      </c>
      <c r="E480" s="1776" t="s">
        <v>3637</v>
      </c>
      <c r="F480" s="1776" t="s">
        <v>2256</v>
      </c>
      <c r="G480" s="1776" t="s">
        <v>3634</v>
      </c>
      <c r="H480" s="1776" t="s">
        <v>22</v>
      </c>
      <c r="I480" s="1776" t="s">
        <v>856</v>
      </c>
    </row>
    <row r="481" spans="1:9" ht="11.25" customHeight="1">
      <c r="A481" s="1776" t="s">
        <v>2248</v>
      </c>
      <c r="B481" s="1776" t="s">
        <v>16</v>
      </c>
      <c r="C481" s="1776" t="s">
        <v>2693</v>
      </c>
      <c r="D481" s="1776" t="s">
        <v>2694</v>
      </c>
      <c r="E481" s="1776" t="s">
        <v>2695</v>
      </c>
      <c r="F481" s="1776" t="s">
        <v>2696</v>
      </c>
      <c r="G481" s="1776" t="s">
        <v>2697</v>
      </c>
      <c r="H481" s="1776" t="s">
        <v>22</v>
      </c>
      <c r="I481" s="1776" t="s">
        <v>856</v>
      </c>
    </row>
    <row r="482" spans="1:9" ht="11.25" customHeight="1">
      <c r="A482" s="1776" t="s">
        <v>2248</v>
      </c>
      <c r="B482" s="1776" t="s">
        <v>16</v>
      </c>
      <c r="C482" s="1776" t="s">
        <v>2712</v>
      </c>
      <c r="D482" s="1776" t="s">
        <v>2713</v>
      </c>
      <c r="E482" s="1776" t="s">
        <v>2714</v>
      </c>
      <c r="F482" s="1776" t="s">
        <v>2312</v>
      </c>
      <c r="G482" s="1776" t="s">
        <v>2715</v>
      </c>
      <c r="H482" s="1776" t="s">
        <v>22</v>
      </c>
      <c r="I482" s="1776" t="s">
        <v>856</v>
      </c>
    </row>
    <row r="483" spans="1:9" ht="11.25" customHeight="1">
      <c r="A483" s="1776" t="s">
        <v>2248</v>
      </c>
      <c r="B483" s="1776" t="s">
        <v>16</v>
      </c>
      <c r="C483" s="1776" t="s">
        <v>2720</v>
      </c>
      <c r="D483" s="1776" t="s">
        <v>2721</v>
      </c>
      <c r="E483" s="1776" t="s">
        <v>2722</v>
      </c>
      <c r="F483" s="1776" t="s">
        <v>2369</v>
      </c>
      <c r="G483" s="1776" t="s">
        <v>2723</v>
      </c>
      <c r="H483" s="1776" t="s">
        <v>22</v>
      </c>
      <c r="I483" s="1776" t="s">
        <v>856</v>
      </c>
    </row>
    <row r="484" spans="1:9" ht="11.25" customHeight="1">
      <c r="A484" s="1776" t="s">
        <v>2248</v>
      </c>
      <c r="B484" s="1776" t="s">
        <v>16</v>
      </c>
      <c r="C484" s="1776" t="s">
        <v>3638</v>
      </c>
      <c r="D484" s="1776" t="s">
        <v>3639</v>
      </c>
      <c r="E484" s="1776" t="s">
        <v>3640</v>
      </c>
      <c r="F484" s="1776" t="s">
        <v>2326</v>
      </c>
      <c r="G484" s="1776" t="s">
        <v>3641</v>
      </c>
      <c r="H484" s="1776" t="s">
        <v>22</v>
      </c>
      <c r="I484" s="1776" t="s">
        <v>856</v>
      </c>
    </row>
    <row r="485" spans="1:9" ht="11.25" customHeight="1">
      <c r="A485" s="1776" t="s">
        <v>2248</v>
      </c>
      <c r="B485" s="1776" t="s">
        <v>16</v>
      </c>
      <c r="C485" s="1776" t="s">
        <v>2732</v>
      </c>
      <c r="D485" s="1776" t="s">
        <v>2733</v>
      </c>
      <c r="E485" s="1776" t="s">
        <v>2734</v>
      </c>
      <c r="F485" s="1776" t="s">
        <v>2735</v>
      </c>
      <c r="G485" s="1776" t="s">
        <v>2736</v>
      </c>
      <c r="H485" s="1776" t="s">
        <v>22</v>
      </c>
      <c r="I485" s="1776" t="s">
        <v>856</v>
      </c>
    </row>
    <row r="486" spans="1:9" ht="11.25" customHeight="1">
      <c r="A486" s="1776" t="s">
        <v>2248</v>
      </c>
      <c r="B486" s="1776" t="s">
        <v>16</v>
      </c>
      <c r="C486" s="1776" t="s">
        <v>2740</v>
      </c>
      <c r="D486" s="1776" t="s">
        <v>2741</v>
      </c>
      <c r="E486" s="1776" t="s">
        <v>2742</v>
      </c>
      <c r="F486" s="1776" t="s">
        <v>2743</v>
      </c>
      <c r="G486" s="1776" t="s">
        <v>22</v>
      </c>
      <c r="H486" s="1776" t="s">
        <v>22</v>
      </c>
      <c r="I486" s="1776" t="s">
        <v>856</v>
      </c>
    </row>
    <row r="487" spans="1:9" ht="11.25" customHeight="1">
      <c r="A487" s="1776" t="s">
        <v>2248</v>
      </c>
      <c r="B487" s="1776" t="s">
        <v>16</v>
      </c>
      <c r="C487" s="1776" t="s">
        <v>3642</v>
      </c>
      <c r="D487" s="1776" t="s">
        <v>3643</v>
      </c>
      <c r="E487" s="1776" t="s">
        <v>3644</v>
      </c>
      <c r="F487" s="1776" t="s">
        <v>2439</v>
      </c>
      <c r="G487" s="1776" t="s">
        <v>3645</v>
      </c>
      <c r="H487" s="1776" t="s">
        <v>22</v>
      </c>
      <c r="I487" s="1776" t="s">
        <v>856</v>
      </c>
    </row>
    <row r="488" spans="1:9" ht="11.25" customHeight="1">
      <c r="A488" s="1776" t="s">
        <v>2248</v>
      </c>
      <c r="B488" s="1776" t="s">
        <v>16</v>
      </c>
      <c r="C488" s="1776" t="s">
        <v>3646</v>
      </c>
      <c r="D488" s="1776" t="s">
        <v>3647</v>
      </c>
      <c r="E488" s="1776" t="s">
        <v>3648</v>
      </c>
      <c r="F488" s="1776" t="s">
        <v>2657</v>
      </c>
      <c r="G488" s="1776" t="s">
        <v>3649</v>
      </c>
      <c r="H488" s="1776" t="s">
        <v>22</v>
      </c>
      <c r="I488" s="1776" t="s">
        <v>856</v>
      </c>
    </row>
    <row r="489" spans="1:9" ht="11.25" customHeight="1">
      <c r="A489" s="1776" t="s">
        <v>2248</v>
      </c>
      <c r="B489" s="1776" t="s">
        <v>16</v>
      </c>
      <c r="C489" s="1776" t="s">
        <v>3650</v>
      </c>
      <c r="D489" s="1776" t="s">
        <v>3651</v>
      </c>
      <c r="E489" s="1776" t="s">
        <v>3652</v>
      </c>
      <c r="F489" s="1776" t="s">
        <v>3653</v>
      </c>
      <c r="G489" s="1776" t="s">
        <v>22</v>
      </c>
      <c r="H489" s="1776" t="s">
        <v>22</v>
      </c>
      <c r="I489" s="1776" t="s">
        <v>856</v>
      </c>
    </row>
    <row r="490" spans="1:9" ht="11.25" customHeight="1">
      <c r="A490" s="1776" t="s">
        <v>2248</v>
      </c>
      <c r="B490" s="1776" t="s">
        <v>16</v>
      </c>
      <c r="C490" s="1776" t="s">
        <v>3654</v>
      </c>
      <c r="D490" s="1776" t="s">
        <v>3655</v>
      </c>
      <c r="E490" s="1776" t="s">
        <v>3656</v>
      </c>
      <c r="F490" s="1776" t="s">
        <v>2648</v>
      </c>
      <c r="G490" s="1776" t="s">
        <v>22</v>
      </c>
      <c r="H490" s="1776" t="s">
        <v>22</v>
      </c>
      <c r="I490" s="1776" t="s">
        <v>856</v>
      </c>
    </row>
    <row r="491" spans="1:9" ht="11.25" customHeight="1">
      <c r="A491" s="1776" t="s">
        <v>2248</v>
      </c>
      <c r="B491" s="1776" t="s">
        <v>16</v>
      </c>
      <c r="C491" s="1776" t="s">
        <v>2756</v>
      </c>
      <c r="D491" s="1776" t="s">
        <v>2757</v>
      </c>
      <c r="E491" s="1776" t="s">
        <v>2758</v>
      </c>
      <c r="F491" s="1776" t="s">
        <v>2696</v>
      </c>
      <c r="G491" s="1776" t="s">
        <v>2759</v>
      </c>
      <c r="H491" s="1776" t="s">
        <v>22</v>
      </c>
      <c r="I491" s="1776" t="s">
        <v>856</v>
      </c>
    </row>
    <row r="492" spans="1:9" ht="11.25" customHeight="1">
      <c r="A492" s="1776" t="s">
        <v>2248</v>
      </c>
      <c r="B492" s="1776" t="s">
        <v>16</v>
      </c>
      <c r="C492" s="1776" t="s">
        <v>2760</v>
      </c>
      <c r="D492" s="1776" t="s">
        <v>2761</v>
      </c>
      <c r="E492" s="1776" t="s">
        <v>2762</v>
      </c>
      <c r="F492" s="1776" t="s">
        <v>2281</v>
      </c>
      <c r="G492" s="1776" t="s">
        <v>2763</v>
      </c>
      <c r="H492" s="1776" t="s">
        <v>22</v>
      </c>
      <c r="I492" s="1776" t="s">
        <v>856</v>
      </c>
    </row>
    <row r="493" spans="1:9" ht="11.25" customHeight="1">
      <c r="A493" s="1776" t="s">
        <v>2248</v>
      </c>
      <c r="B493" s="1776" t="s">
        <v>16</v>
      </c>
      <c r="C493" s="1776" t="s">
        <v>2767</v>
      </c>
      <c r="D493" s="1776" t="s">
        <v>2768</v>
      </c>
      <c r="E493" s="1776" t="s">
        <v>2769</v>
      </c>
      <c r="F493" s="1776" t="s">
        <v>2281</v>
      </c>
      <c r="G493" s="1776" t="s">
        <v>2770</v>
      </c>
      <c r="H493" s="1776" t="s">
        <v>22</v>
      </c>
      <c r="I493" s="1776" t="s">
        <v>856</v>
      </c>
    </row>
    <row r="494" spans="1:9" ht="11.25" customHeight="1">
      <c r="A494" s="1776" t="s">
        <v>2248</v>
      </c>
      <c r="B494" s="1776" t="s">
        <v>16</v>
      </c>
      <c r="C494" s="1776" t="s">
        <v>3657</v>
      </c>
      <c r="D494" s="1776" t="s">
        <v>3658</v>
      </c>
      <c r="E494" s="1776" t="s">
        <v>3659</v>
      </c>
      <c r="F494" s="1776" t="s">
        <v>2345</v>
      </c>
      <c r="G494" s="1776" t="s">
        <v>3660</v>
      </c>
      <c r="H494" s="1776" t="s">
        <v>22</v>
      </c>
      <c r="I494" s="1776" t="s">
        <v>856</v>
      </c>
    </row>
    <row r="495" spans="1:9" ht="11.25" customHeight="1">
      <c r="A495" s="1776" t="s">
        <v>2248</v>
      </c>
      <c r="B495" s="1776" t="s">
        <v>16</v>
      </c>
      <c r="C495" s="1776" t="s">
        <v>2787</v>
      </c>
      <c r="D495" s="1776" t="s">
        <v>2788</v>
      </c>
      <c r="E495" s="1776" t="s">
        <v>2789</v>
      </c>
      <c r="F495" s="1776" t="s">
        <v>2497</v>
      </c>
      <c r="G495" s="1776" t="s">
        <v>2511</v>
      </c>
      <c r="H495" s="1776" t="s">
        <v>22</v>
      </c>
      <c r="I495" s="1776" t="s">
        <v>856</v>
      </c>
    </row>
    <row r="496" spans="1:9" ht="11.25" customHeight="1">
      <c r="A496" s="1776" t="s">
        <v>2248</v>
      </c>
      <c r="B496" s="1776" t="s">
        <v>16</v>
      </c>
      <c r="C496" s="1776" t="s">
        <v>3661</v>
      </c>
      <c r="D496" s="1776" t="s">
        <v>3662</v>
      </c>
      <c r="E496" s="1776" t="s">
        <v>3663</v>
      </c>
      <c r="F496" s="1776" t="s">
        <v>2478</v>
      </c>
      <c r="G496" s="1776" t="s">
        <v>3664</v>
      </c>
      <c r="H496" s="1776" t="s">
        <v>22</v>
      </c>
      <c r="I496" s="1776" t="s">
        <v>856</v>
      </c>
    </row>
    <row r="497" spans="1:9" ht="11.25" customHeight="1">
      <c r="A497" s="1776" t="s">
        <v>2248</v>
      </c>
      <c r="B497" s="1776" t="s">
        <v>16</v>
      </c>
      <c r="C497" s="1776" t="s">
        <v>3665</v>
      </c>
      <c r="D497" s="1776" t="s">
        <v>3666</v>
      </c>
      <c r="E497" s="1776" t="s">
        <v>3667</v>
      </c>
      <c r="F497" s="1776" t="s">
        <v>2553</v>
      </c>
      <c r="G497" s="1776" t="s">
        <v>22</v>
      </c>
      <c r="H497" s="1776" t="s">
        <v>22</v>
      </c>
      <c r="I497" s="1776" t="s">
        <v>856</v>
      </c>
    </row>
    <row r="498" spans="1:9" ht="11.25" customHeight="1">
      <c r="A498" s="1776" t="s">
        <v>2248</v>
      </c>
      <c r="B498" s="1776" t="s">
        <v>16</v>
      </c>
      <c r="C498" s="1776" t="s">
        <v>3668</v>
      </c>
      <c r="D498" s="1776" t="s">
        <v>3669</v>
      </c>
      <c r="E498" s="1776" t="s">
        <v>3670</v>
      </c>
      <c r="F498" s="1776" t="s">
        <v>2281</v>
      </c>
      <c r="G498" s="1776" t="s">
        <v>22</v>
      </c>
      <c r="H498" s="1776" t="s">
        <v>22</v>
      </c>
      <c r="I498" s="1776" t="s">
        <v>856</v>
      </c>
    </row>
    <row r="499" spans="1:9" ht="11.25" customHeight="1">
      <c r="A499" s="1776" t="s">
        <v>2248</v>
      </c>
      <c r="B499" s="1776" t="s">
        <v>16</v>
      </c>
      <c r="C499" s="1776" t="s">
        <v>3671</v>
      </c>
      <c r="D499" s="1776" t="s">
        <v>3672</v>
      </c>
      <c r="E499" s="1776" t="s">
        <v>3673</v>
      </c>
      <c r="F499" s="1776" t="s">
        <v>2488</v>
      </c>
      <c r="G499" s="1776" t="s">
        <v>3674</v>
      </c>
      <c r="H499" s="1776" t="s">
        <v>22</v>
      </c>
      <c r="I499" s="1776" t="s">
        <v>856</v>
      </c>
    </row>
    <row r="500" spans="1:9" ht="11.25" customHeight="1">
      <c r="A500" s="1776" t="s">
        <v>2248</v>
      </c>
      <c r="B500" s="1776" t="s">
        <v>16</v>
      </c>
      <c r="C500" s="1776" t="s">
        <v>2806</v>
      </c>
      <c r="D500" s="1776" t="s">
        <v>2807</v>
      </c>
      <c r="E500" s="1776" t="s">
        <v>2808</v>
      </c>
      <c r="F500" s="1776" t="s">
        <v>2281</v>
      </c>
      <c r="G500" s="1776" t="s">
        <v>2809</v>
      </c>
      <c r="H500" s="1776" t="s">
        <v>22</v>
      </c>
      <c r="I500" s="1776" t="s">
        <v>856</v>
      </c>
    </row>
    <row r="501" spans="1:9" ht="11.25" customHeight="1">
      <c r="A501" s="1776" t="s">
        <v>2248</v>
      </c>
      <c r="B501" s="1776" t="s">
        <v>16</v>
      </c>
      <c r="C501" s="1776" t="s">
        <v>2810</v>
      </c>
      <c r="D501" s="1776" t="s">
        <v>2811</v>
      </c>
      <c r="E501" s="1776" t="s">
        <v>2812</v>
      </c>
      <c r="F501" s="1776" t="s">
        <v>2558</v>
      </c>
      <c r="G501" s="1776" t="s">
        <v>2813</v>
      </c>
      <c r="H501" s="1776" t="s">
        <v>22</v>
      </c>
      <c r="I501" s="1776" t="s">
        <v>856</v>
      </c>
    </row>
    <row r="502" spans="1:9" ht="11.25" customHeight="1">
      <c r="A502" s="1776" t="s">
        <v>2248</v>
      </c>
      <c r="B502" s="1776" t="s">
        <v>16</v>
      </c>
      <c r="C502" s="1776" t="s">
        <v>3675</v>
      </c>
      <c r="D502" s="1776" t="s">
        <v>3676</v>
      </c>
      <c r="E502" s="1776" t="s">
        <v>3677</v>
      </c>
      <c r="F502" s="1776" t="s">
        <v>2735</v>
      </c>
      <c r="G502" s="1776" t="s">
        <v>22</v>
      </c>
      <c r="H502" s="1776" t="s">
        <v>22</v>
      </c>
      <c r="I502" s="1776" t="s">
        <v>856</v>
      </c>
    </row>
    <row r="503" spans="1:9" ht="11.25" customHeight="1">
      <c r="A503" s="1776" t="s">
        <v>2248</v>
      </c>
      <c r="B503" s="1776" t="s">
        <v>16</v>
      </c>
      <c r="C503" s="1776" t="s">
        <v>2843</v>
      </c>
      <c r="D503" s="1776" t="s">
        <v>2844</v>
      </c>
      <c r="E503" s="1776" t="s">
        <v>2845</v>
      </c>
      <c r="F503" s="1776" t="s">
        <v>2619</v>
      </c>
      <c r="G503" s="1776" t="s">
        <v>2846</v>
      </c>
      <c r="H503" s="1776" t="s">
        <v>22</v>
      </c>
      <c r="I503" s="1776" t="s">
        <v>856</v>
      </c>
    </row>
    <row r="504" spans="1:9" ht="11.25" customHeight="1">
      <c r="A504" s="1776" t="s">
        <v>2248</v>
      </c>
      <c r="B504" s="1776" t="s">
        <v>16</v>
      </c>
      <c r="C504" s="1776" t="s">
        <v>3678</v>
      </c>
      <c r="D504" s="1776" t="s">
        <v>3679</v>
      </c>
      <c r="E504" s="1776" t="s">
        <v>3680</v>
      </c>
      <c r="F504" s="1776" t="s">
        <v>2425</v>
      </c>
      <c r="G504" s="1776" t="s">
        <v>22</v>
      </c>
      <c r="H504" s="1776" t="s">
        <v>22</v>
      </c>
      <c r="I504" s="1776" t="s">
        <v>856</v>
      </c>
    </row>
    <row r="505" spans="1:9" ht="11.25" customHeight="1">
      <c r="A505" s="1776" t="s">
        <v>2248</v>
      </c>
      <c r="B505" s="1776" t="s">
        <v>16</v>
      </c>
      <c r="C505" s="1776" t="s">
        <v>3681</v>
      </c>
      <c r="D505" s="1776" t="s">
        <v>3682</v>
      </c>
      <c r="E505" s="1776" t="s">
        <v>3683</v>
      </c>
      <c r="F505" s="1776" t="s">
        <v>2425</v>
      </c>
      <c r="G505" s="1776" t="s">
        <v>22</v>
      </c>
      <c r="H505" s="1776" t="s">
        <v>22</v>
      </c>
      <c r="I505" s="1776" t="s">
        <v>856</v>
      </c>
    </row>
    <row r="506" spans="1:9" ht="11.25" customHeight="1">
      <c r="A506" s="1776" t="s">
        <v>2248</v>
      </c>
      <c r="B506" s="1776" t="s">
        <v>16</v>
      </c>
      <c r="C506" s="1776" t="s">
        <v>3684</v>
      </c>
      <c r="D506" s="1776" t="s">
        <v>3685</v>
      </c>
      <c r="E506" s="1776" t="s">
        <v>3686</v>
      </c>
      <c r="F506" s="1776" t="s">
        <v>3687</v>
      </c>
      <c r="G506" s="1776" t="s">
        <v>22</v>
      </c>
      <c r="H506" s="1776" t="s">
        <v>22</v>
      </c>
      <c r="I506" s="1776" t="s">
        <v>856</v>
      </c>
    </row>
    <row r="507" spans="1:9" ht="11.25" customHeight="1">
      <c r="A507" s="1776" t="s">
        <v>2248</v>
      </c>
      <c r="B507" s="1776" t="s">
        <v>16</v>
      </c>
      <c r="C507" s="1776" t="s">
        <v>2866</v>
      </c>
      <c r="D507" s="1776" t="s">
        <v>2867</v>
      </c>
      <c r="E507" s="1776" t="s">
        <v>2868</v>
      </c>
      <c r="F507" s="1776" t="s">
        <v>2869</v>
      </c>
      <c r="G507" s="1776" t="s">
        <v>2870</v>
      </c>
      <c r="H507" s="1776" t="s">
        <v>22</v>
      </c>
      <c r="I507" s="1776" t="s">
        <v>856</v>
      </c>
    </row>
    <row r="508" spans="1:9" ht="11.25" customHeight="1">
      <c r="A508" s="1776" t="s">
        <v>2248</v>
      </c>
      <c r="B508" s="1776" t="s">
        <v>16</v>
      </c>
      <c r="C508" s="1776" t="s">
        <v>3688</v>
      </c>
      <c r="D508" s="1776" t="s">
        <v>3689</v>
      </c>
      <c r="E508" s="1776" t="s">
        <v>3690</v>
      </c>
      <c r="F508" s="1776" t="s">
        <v>2457</v>
      </c>
      <c r="G508" s="1776" t="s">
        <v>3691</v>
      </c>
      <c r="H508" s="1776" t="s">
        <v>22</v>
      </c>
      <c r="I508" s="1776" t="s">
        <v>856</v>
      </c>
    </row>
    <row r="509" spans="1:9" ht="11.25" customHeight="1">
      <c r="A509" s="1776" t="s">
        <v>2248</v>
      </c>
      <c r="B509" s="1776" t="s">
        <v>16</v>
      </c>
      <c r="C509" s="1776" t="s">
        <v>3692</v>
      </c>
      <c r="D509" s="1776" t="s">
        <v>3693</v>
      </c>
      <c r="E509" s="1776" t="s">
        <v>3694</v>
      </c>
      <c r="F509" s="1776" t="s">
        <v>2457</v>
      </c>
      <c r="G509" s="1776" t="s">
        <v>2413</v>
      </c>
      <c r="H509" s="1776" t="s">
        <v>22</v>
      </c>
      <c r="I509" s="1776" t="s">
        <v>856</v>
      </c>
    </row>
    <row r="510" spans="1:9" ht="11.25" customHeight="1">
      <c r="A510" s="1776" t="s">
        <v>2248</v>
      </c>
      <c r="B510" s="1776" t="s">
        <v>16</v>
      </c>
      <c r="C510" s="1776" t="s">
        <v>3695</v>
      </c>
      <c r="D510" s="1776" t="s">
        <v>3696</v>
      </c>
      <c r="E510" s="1776" t="s">
        <v>3697</v>
      </c>
      <c r="F510" s="1776" t="s">
        <v>2457</v>
      </c>
      <c r="G510" s="1776" t="s">
        <v>3698</v>
      </c>
      <c r="H510" s="1776" t="s">
        <v>22</v>
      </c>
      <c r="I510" s="1776" t="s">
        <v>856</v>
      </c>
    </row>
    <row r="511" spans="1:9" ht="11.25" customHeight="1">
      <c r="A511" s="1776" t="s">
        <v>2248</v>
      </c>
      <c r="B511" s="1776" t="s">
        <v>16</v>
      </c>
      <c r="C511" s="1776" t="s">
        <v>3699</v>
      </c>
      <c r="D511" s="1776" t="s">
        <v>3700</v>
      </c>
      <c r="E511" s="1776" t="s">
        <v>3701</v>
      </c>
      <c r="F511" s="1776" t="s">
        <v>2506</v>
      </c>
      <c r="G511" s="1776" t="s">
        <v>22</v>
      </c>
      <c r="H511" s="1776" t="s">
        <v>22</v>
      </c>
      <c r="I511" s="1776" t="s">
        <v>856</v>
      </c>
    </row>
    <row r="512" spans="1:9" ht="11.25" customHeight="1">
      <c r="A512" s="1776" t="s">
        <v>2248</v>
      </c>
      <c r="B512" s="1776" t="s">
        <v>16</v>
      </c>
      <c r="C512" s="1776" t="s">
        <v>3702</v>
      </c>
      <c r="D512" s="1776" t="s">
        <v>3703</v>
      </c>
      <c r="E512" s="1776" t="s">
        <v>3704</v>
      </c>
      <c r="F512" s="1776" t="s">
        <v>2457</v>
      </c>
      <c r="G512" s="1776" t="s">
        <v>3705</v>
      </c>
      <c r="H512" s="1776" t="s">
        <v>22</v>
      </c>
      <c r="I512" s="1776" t="s">
        <v>856</v>
      </c>
    </row>
    <row r="513" spans="1:9" ht="11.25" customHeight="1">
      <c r="A513" s="1776" t="s">
        <v>2248</v>
      </c>
      <c r="B513" s="1776" t="s">
        <v>16</v>
      </c>
      <c r="C513" s="1776" t="s">
        <v>3706</v>
      </c>
      <c r="D513" s="1776" t="s">
        <v>3707</v>
      </c>
      <c r="E513" s="1776" t="s">
        <v>3708</v>
      </c>
      <c r="F513" s="1776" t="s">
        <v>3709</v>
      </c>
      <c r="G513" s="1776" t="s">
        <v>3710</v>
      </c>
      <c r="H513" s="1776" t="s">
        <v>22</v>
      </c>
      <c r="I513" s="1776" t="s">
        <v>856</v>
      </c>
    </row>
    <row r="514" spans="1:9" ht="11.25" customHeight="1">
      <c r="A514" s="1776" t="s">
        <v>2248</v>
      </c>
      <c r="B514" s="1776" t="s">
        <v>16</v>
      </c>
      <c r="C514" s="1776" t="s">
        <v>3711</v>
      </c>
      <c r="D514" s="1776" t="s">
        <v>3712</v>
      </c>
      <c r="E514" s="1776" t="s">
        <v>3713</v>
      </c>
      <c r="F514" s="1776" t="s">
        <v>2506</v>
      </c>
      <c r="G514" s="1776" t="s">
        <v>22</v>
      </c>
      <c r="H514" s="1776" t="s">
        <v>22</v>
      </c>
      <c r="I514" s="1776" t="s">
        <v>856</v>
      </c>
    </row>
    <row r="515" spans="1:9" ht="11.25" customHeight="1">
      <c r="A515" s="1776" t="s">
        <v>2248</v>
      </c>
      <c r="B515" s="1776" t="s">
        <v>16</v>
      </c>
      <c r="C515" s="1776" t="s">
        <v>3714</v>
      </c>
      <c r="D515" s="1776" t="s">
        <v>3715</v>
      </c>
      <c r="E515" s="1776" t="s">
        <v>3716</v>
      </c>
      <c r="F515" s="1776" t="s">
        <v>2506</v>
      </c>
      <c r="G515" s="1776" t="s">
        <v>3717</v>
      </c>
      <c r="H515" s="1776" t="s">
        <v>22</v>
      </c>
      <c r="I515" s="1776" t="s">
        <v>856</v>
      </c>
    </row>
    <row r="516" spans="1:9" ht="11.25" customHeight="1">
      <c r="A516" s="1776" t="s">
        <v>2248</v>
      </c>
      <c r="B516" s="1776" t="s">
        <v>16</v>
      </c>
      <c r="C516" s="1776" t="s">
        <v>3718</v>
      </c>
      <c r="D516" s="1776" t="s">
        <v>3719</v>
      </c>
      <c r="E516" s="1776" t="s">
        <v>3720</v>
      </c>
      <c r="F516" s="1776" t="s">
        <v>2444</v>
      </c>
      <c r="G516" s="1776" t="s">
        <v>22</v>
      </c>
      <c r="H516" s="1776" t="s">
        <v>22</v>
      </c>
      <c r="I516" s="1776" t="s">
        <v>856</v>
      </c>
    </row>
    <row r="517" spans="1:9" ht="11.25" customHeight="1">
      <c r="A517" s="1776" t="s">
        <v>2248</v>
      </c>
      <c r="B517" s="1776" t="s">
        <v>16</v>
      </c>
      <c r="C517" s="1776" t="s">
        <v>3721</v>
      </c>
      <c r="D517" s="1776" t="s">
        <v>3722</v>
      </c>
      <c r="E517" s="1776" t="s">
        <v>3723</v>
      </c>
      <c r="F517" s="1776" t="s">
        <v>2506</v>
      </c>
      <c r="G517" s="1776" t="s">
        <v>22</v>
      </c>
      <c r="H517" s="1776" t="s">
        <v>22</v>
      </c>
      <c r="I517" s="1776" t="s">
        <v>856</v>
      </c>
    </row>
    <row r="518" spans="1:9" ht="11.25" customHeight="1">
      <c r="A518" s="1776" t="s">
        <v>2248</v>
      </c>
      <c r="B518" s="1776" t="s">
        <v>16</v>
      </c>
      <c r="C518" s="1776" t="s">
        <v>3724</v>
      </c>
      <c r="D518" s="1776" t="s">
        <v>3725</v>
      </c>
      <c r="E518" s="1776" t="s">
        <v>3726</v>
      </c>
      <c r="F518" s="1776" t="s">
        <v>2558</v>
      </c>
      <c r="G518" s="1776" t="s">
        <v>22</v>
      </c>
      <c r="H518" s="1776" t="s">
        <v>22</v>
      </c>
      <c r="I518" s="1776" t="s">
        <v>856</v>
      </c>
    </row>
    <row r="519" spans="1:9" ht="11.25" customHeight="1">
      <c r="A519" s="1776" t="s">
        <v>2248</v>
      </c>
      <c r="B519" s="1776" t="s">
        <v>16</v>
      </c>
      <c r="C519" s="1776" t="s">
        <v>3727</v>
      </c>
      <c r="D519" s="1776" t="s">
        <v>3728</v>
      </c>
      <c r="E519" s="1776" t="s">
        <v>3729</v>
      </c>
      <c r="F519" s="1776" t="s">
        <v>2558</v>
      </c>
      <c r="G519" s="1776" t="s">
        <v>3730</v>
      </c>
      <c r="H519" s="1776" t="s">
        <v>22</v>
      </c>
      <c r="I519" s="1776" t="s">
        <v>856</v>
      </c>
    </row>
    <row r="520" spans="1:9" ht="11.25" customHeight="1">
      <c r="A520" s="1776" t="s">
        <v>2248</v>
      </c>
      <c r="B520" s="1776" t="s">
        <v>16</v>
      </c>
      <c r="C520" s="1776" t="s">
        <v>3731</v>
      </c>
      <c r="D520" s="1776" t="s">
        <v>3732</v>
      </c>
      <c r="E520" s="1776" t="s">
        <v>3733</v>
      </c>
      <c r="F520" s="1776" t="s">
        <v>2299</v>
      </c>
      <c r="G520" s="1776" t="s">
        <v>22</v>
      </c>
      <c r="H520" s="1776" t="s">
        <v>22</v>
      </c>
      <c r="I520" s="1776" t="s">
        <v>856</v>
      </c>
    </row>
    <row r="521" spans="1:9" ht="11.25" customHeight="1">
      <c r="A521" s="1776" t="s">
        <v>2248</v>
      </c>
      <c r="B521" s="1776" t="s">
        <v>16</v>
      </c>
      <c r="C521" s="1776" t="s">
        <v>3734</v>
      </c>
      <c r="D521" s="1776" t="s">
        <v>3735</v>
      </c>
      <c r="E521" s="1776" t="s">
        <v>3736</v>
      </c>
      <c r="F521" s="1776" t="s">
        <v>2696</v>
      </c>
      <c r="G521" s="1776" t="s">
        <v>22</v>
      </c>
      <c r="H521" s="1776" t="s">
        <v>22</v>
      </c>
      <c r="I521" s="1776" t="s">
        <v>856</v>
      </c>
    </row>
    <row r="522" spans="1:9" ht="11.25" customHeight="1">
      <c r="A522" s="1776" t="s">
        <v>2248</v>
      </c>
      <c r="B522" s="1776" t="s">
        <v>16</v>
      </c>
      <c r="C522" s="1776" t="s">
        <v>3737</v>
      </c>
      <c r="D522" s="1776" t="s">
        <v>3738</v>
      </c>
      <c r="E522" s="1776" t="s">
        <v>3739</v>
      </c>
      <c r="F522" s="1776" t="s">
        <v>2444</v>
      </c>
      <c r="G522" s="1776" t="s">
        <v>22</v>
      </c>
      <c r="H522" s="1776" t="s">
        <v>22</v>
      </c>
      <c r="I522" s="1776" t="s">
        <v>856</v>
      </c>
    </row>
    <row r="523" spans="1:9" ht="11.25" customHeight="1">
      <c r="A523" s="1776" t="s">
        <v>2248</v>
      </c>
      <c r="B523" s="1776" t="s">
        <v>16</v>
      </c>
      <c r="C523" s="1776" t="s">
        <v>3740</v>
      </c>
      <c r="D523" s="1776" t="s">
        <v>3741</v>
      </c>
      <c r="E523" s="1776" t="s">
        <v>3742</v>
      </c>
      <c r="F523" s="1776" t="s">
        <v>2444</v>
      </c>
      <c r="G523" s="1776" t="s">
        <v>2489</v>
      </c>
      <c r="H523" s="1776" t="s">
        <v>22</v>
      </c>
      <c r="I523" s="1776" t="s">
        <v>856</v>
      </c>
    </row>
    <row r="524" spans="1:9" ht="11.25" customHeight="1">
      <c r="A524" s="1776" t="s">
        <v>2248</v>
      </c>
      <c r="B524" s="1776" t="s">
        <v>16</v>
      </c>
      <c r="C524" s="1776" t="s">
        <v>3743</v>
      </c>
      <c r="D524" s="1776" t="s">
        <v>3744</v>
      </c>
      <c r="E524" s="1776" t="s">
        <v>3745</v>
      </c>
      <c r="F524" s="1776" t="s">
        <v>2412</v>
      </c>
      <c r="G524" s="1776" t="s">
        <v>22</v>
      </c>
      <c r="H524" s="1776" t="s">
        <v>22</v>
      </c>
      <c r="I524" s="1776" t="s">
        <v>856</v>
      </c>
    </row>
    <row r="525" spans="1:9" ht="11.25" customHeight="1">
      <c r="A525" s="1776" t="s">
        <v>2248</v>
      </c>
      <c r="B525" s="1776" t="s">
        <v>16</v>
      </c>
      <c r="C525" s="1776" t="s">
        <v>3746</v>
      </c>
      <c r="D525" s="1776" t="s">
        <v>3747</v>
      </c>
      <c r="E525" s="1776" t="s">
        <v>3748</v>
      </c>
      <c r="F525" s="1776" t="s">
        <v>2256</v>
      </c>
      <c r="G525" s="1776" t="s">
        <v>3749</v>
      </c>
      <c r="H525" s="1776" t="s">
        <v>22</v>
      </c>
      <c r="I525" s="1776" t="s">
        <v>856</v>
      </c>
    </row>
    <row r="526" spans="1:9" ht="11.25" customHeight="1">
      <c r="A526" s="1776" t="s">
        <v>2248</v>
      </c>
      <c r="B526" s="1776" t="s">
        <v>16</v>
      </c>
      <c r="C526" s="1776" t="s">
        <v>3750</v>
      </c>
      <c r="D526" s="1776" t="s">
        <v>3751</v>
      </c>
      <c r="E526" s="1776" t="s">
        <v>3752</v>
      </c>
      <c r="F526" s="1776" t="s">
        <v>2547</v>
      </c>
      <c r="G526" s="1776" t="s">
        <v>3753</v>
      </c>
      <c r="H526" s="1776" t="s">
        <v>22</v>
      </c>
      <c r="I526" s="1776" t="s">
        <v>856</v>
      </c>
    </row>
    <row r="527" spans="1:9" ht="11.25" customHeight="1">
      <c r="A527" s="1776" t="s">
        <v>2248</v>
      </c>
      <c r="B527" s="1776" t="s">
        <v>16</v>
      </c>
      <c r="C527" s="1776" t="s">
        <v>2883</v>
      </c>
      <c r="D527" s="1776" t="s">
        <v>2884</v>
      </c>
      <c r="E527" s="1776" t="s">
        <v>2885</v>
      </c>
      <c r="F527" s="1776" t="s">
        <v>2886</v>
      </c>
      <c r="G527" s="1776" t="s">
        <v>2887</v>
      </c>
      <c r="H527" s="1776" t="s">
        <v>22</v>
      </c>
      <c r="I527" s="1776" t="s">
        <v>856</v>
      </c>
    </row>
    <row r="528" spans="1:9" ht="11.25" customHeight="1">
      <c r="A528" s="1776" t="s">
        <v>2248</v>
      </c>
      <c r="B528" s="1776" t="s">
        <v>16</v>
      </c>
      <c r="C528" s="1776" t="s">
        <v>2893</v>
      </c>
      <c r="D528" s="1776" t="s">
        <v>2894</v>
      </c>
      <c r="E528" s="1776" t="s">
        <v>2895</v>
      </c>
      <c r="F528" s="1776" t="s">
        <v>2896</v>
      </c>
      <c r="G528" s="1776" t="s">
        <v>22</v>
      </c>
      <c r="H528" s="1776" t="s">
        <v>22</v>
      </c>
      <c r="I528" s="1776" t="s">
        <v>856</v>
      </c>
    </row>
    <row r="529" spans="1:9" ht="11.25" customHeight="1">
      <c r="A529" s="1776" t="s">
        <v>2248</v>
      </c>
      <c r="B529" s="1776" t="s">
        <v>16</v>
      </c>
      <c r="C529" s="1776" t="s">
        <v>2901</v>
      </c>
      <c r="D529" s="1776" t="s">
        <v>2902</v>
      </c>
      <c r="E529" s="1776" t="s">
        <v>2903</v>
      </c>
      <c r="F529" s="1776" t="s">
        <v>2904</v>
      </c>
      <c r="G529" s="1776" t="s">
        <v>2905</v>
      </c>
      <c r="H529" s="1776" t="s">
        <v>22</v>
      </c>
      <c r="I529" s="1776" t="s">
        <v>856</v>
      </c>
    </row>
    <row r="530" spans="1:9" ht="11.25" customHeight="1">
      <c r="A530" s="1776" t="s">
        <v>2248</v>
      </c>
      <c r="B530" s="1776" t="s">
        <v>16</v>
      </c>
      <c r="C530" s="1776" t="s">
        <v>2914</v>
      </c>
      <c r="D530" s="1776" t="s">
        <v>2915</v>
      </c>
      <c r="E530" s="1776" t="s">
        <v>2916</v>
      </c>
      <c r="F530" s="1776" t="s">
        <v>2917</v>
      </c>
      <c r="G530" s="1776" t="s">
        <v>22</v>
      </c>
      <c r="H530" s="1776" t="s">
        <v>22</v>
      </c>
      <c r="I530" s="1776" t="s">
        <v>856</v>
      </c>
    </row>
    <row r="531" spans="1:9" ht="11.25" customHeight="1">
      <c r="A531" s="1776" t="s">
        <v>2248</v>
      </c>
      <c r="B531" s="1776" t="s">
        <v>16</v>
      </c>
      <c r="C531" s="1776" t="s">
        <v>2249</v>
      </c>
      <c r="D531" s="1776" t="s">
        <v>2250</v>
      </c>
      <c r="E531" s="1776" t="s">
        <v>2251</v>
      </c>
      <c r="F531" s="1776" t="s">
        <v>2252</v>
      </c>
      <c r="G531" s="1776" t="s">
        <v>22</v>
      </c>
      <c r="H531" s="1776" t="s">
        <v>22</v>
      </c>
      <c r="I531" s="1776" t="s">
        <v>909</v>
      </c>
    </row>
    <row r="532" spans="1:9" ht="11.25" customHeight="1">
      <c r="A532" s="1776" t="s">
        <v>2248</v>
      </c>
      <c r="B532" s="1776" t="s">
        <v>16</v>
      </c>
      <c r="C532" s="1776" t="s">
        <v>2253</v>
      </c>
      <c r="D532" s="1776" t="s">
        <v>2254</v>
      </c>
      <c r="E532" s="1776" t="s">
        <v>2255</v>
      </c>
      <c r="F532" s="1776" t="s">
        <v>2256</v>
      </c>
      <c r="G532" s="1776" t="s">
        <v>2257</v>
      </c>
      <c r="H532" s="1776" t="s">
        <v>22</v>
      </c>
      <c r="I532" s="1776" t="s">
        <v>909</v>
      </c>
    </row>
    <row r="533" spans="1:9" ht="11.25" customHeight="1">
      <c r="A533" s="1776" t="s">
        <v>2248</v>
      </c>
      <c r="B533" s="1776" t="s">
        <v>16</v>
      </c>
      <c r="C533" s="1776" t="s">
        <v>2261</v>
      </c>
      <c r="D533" s="1776" t="s">
        <v>2262</v>
      </c>
      <c r="E533" s="1776" t="s">
        <v>2263</v>
      </c>
      <c r="F533" s="1776" t="s">
        <v>2264</v>
      </c>
      <c r="G533" s="1776" t="s">
        <v>22</v>
      </c>
      <c r="H533" s="1776" t="s">
        <v>22</v>
      </c>
      <c r="I533" s="1776" t="s">
        <v>909</v>
      </c>
    </row>
    <row r="534" spans="1:9" ht="11.25" customHeight="1">
      <c r="A534" s="1776" t="s">
        <v>2248</v>
      </c>
      <c r="B534" s="1776" t="s">
        <v>16</v>
      </c>
      <c r="C534" s="1776" t="s">
        <v>2273</v>
      </c>
      <c r="D534" s="1776" t="s">
        <v>2274</v>
      </c>
      <c r="E534" s="1776" t="s">
        <v>2275</v>
      </c>
      <c r="F534" s="1776" t="s">
        <v>2276</v>
      </c>
      <c r="G534" s="1776" t="s">
        <v>2277</v>
      </c>
      <c r="H534" s="1776" t="s">
        <v>22</v>
      </c>
      <c r="I534" s="1776" t="s">
        <v>909</v>
      </c>
    </row>
    <row r="535" spans="1:9" ht="11.25" customHeight="1">
      <c r="A535" s="1776" t="s">
        <v>2248</v>
      </c>
      <c r="B535" s="1776" t="s">
        <v>16</v>
      </c>
      <c r="C535" s="1776" t="s">
        <v>2296</v>
      </c>
      <c r="D535" s="1776" t="s">
        <v>2297</v>
      </c>
      <c r="E535" s="1776" t="s">
        <v>2298</v>
      </c>
      <c r="F535" s="1776" t="s">
        <v>2299</v>
      </c>
      <c r="G535" s="1776" t="s">
        <v>2300</v>
      </c>
      <c r="H535" s="1776" t="s">
        <v>22</v>
      </c>
      <c r="I535" s="1776" t="s">
        <v>909</v>
      </c>
    </row>
    <row r="536" spans="1:9" ht="11.25" customHeight="1">
      <c r="A536" s="1776" t="s">
        <v>2248</v>
      </c>
      <c r="B536" s="1776" t="s">
        <v>16</v>
      </c>
      <c r="C536" s="1776" t="s">
        <v>2301</v>
      </c>
      <c r="D536" s="1776" t="s">
        <v>2302</v>
      </c>
      <c r="E536" s="1776" t="s">
        <v>2303</v>
      </c>
      <c r="F536" s="1776" t="s">
        <v>2252</v>
      </c>
      <c r="G536" s="1776" t="s">
        <v>2304</v>
      </c>
      <c r="H536" s="1776" t="s">
        <v>22</v>
      </c>
      <c r="I536" s="1776" t="s">
        <v>909</v>
      </c>
    </row>
    <row r="537" spans="1:9" ht="11.25" customHeight="1">
      <c r="A537" s="1776" t="s">
        <v>2248</v>
      </c>
      <c r="B537" s="1776" t="s">
        <v>16</v>
      </c>
      <c r="C537" s="1776" t="s">
        <v>2313</v>
      </c>
      <c r="D537" s="1776" t="s">
        <v>2314</v>
      </c>
      <c r="E537" s="1776" t="s">
        <v>2315</v>
      </c>
      <c r="F537" s="1776" t="s">
        <v>2316</v>
      </c>
      <c r="G537" s="1776" t="s">
        <v>2317</v>
      </c>
      <c r="H537" s="1776" t="s">
        <v>22</v>
      </c>
      <c r="I537" s="1776" t="s">
        <v>909</v>
      </c>
    </row>
    <row r="538" spans="1:9" ht="11.25" customHeight="1">
      <c r="A538" s="1776" t="s">
        <v>2248</v>
      </c>
      <c r="B538" s="1776" t="s">
        <v>16</v>
      </c>
      <c r="C538" s="1776" t="s">
        <v>22</v>
      </c>
      <c r="D538" s="1776" t="s">
        <v>2359</v>
      </c>
      <c r="E538" s="1776" t="s">
        <v>2360</v>
      </c>
      <c r="F538" s="1776" t="s">
        <v>2345</v>
      </c>
      <c r="G538" s="1776" t="s">
        <v>22</v>
      </c>
      <c r="H538" s="1776" t="s">
        <v>22</v>
      </c>
      <c r="I538" s="1776" t="s">
        <v>909</v>
      </c>
    </row>
    <row r="539" spans="1:9" ht="11.25" customHeight="1">
      <c r="A539" s="1776" t="s">
        <v>2248</v>
      </c>
      <c r="B539" s="1776" t="s">
        <v>16</v>
      </c>
      <c r="C539" s="1776" t="s">
        <v>2361</v>
      </c>
      <c r="D539" s="1776" t="s">
        <v>2362</v>
      </c>
      <c r="E539" s="1776" t="s">
        <v>2363</v>
      </c>
      <c r="F539" s="1776" t="s">
        <v>2364</v>
      </c>
      <c r="G539" s="1776" t="s">
        <v>2365</v>
      </c>
      <c r="H539" s="1776" t="s">
        <v>22</v>
      </c>
      <c r="I539" s="1776" t="s">
        <v>909</v>
      </c>
    </row>
    <row r="540" spans="1:9" ht="11.25" customHeight="1">
      <c r="A540" s="1776" t="s">
        <v>2248</v>
      </c>
      <c r="B540" s="1776" t="s">
        <v>16</v>
      </c>
      <c r="C540" s="1776" t="s">
        <v>2955</v>
      </c>
      <c r="D540" s="1776" t="s">
        <v>2956</v>
      </c>
      <c r="E540" s="1776" t="s">
        <v>2957</v>
      </c>
      <c r="F540" s="1776" t="s">
        <v>2364</v>
      </c>
      <c r="G540" s="1776" t="s">
        <v>22</v>
      </c>
      <c r="H540" s="1776" t="s">
        <v>22</v>
      </c>
      <c r="I540" s="1776" t="s">
        <v>909</v>
      </c>
    </row>
    <row r="541" spans="1:9" ht="11.25" customHeight="1">
      <c r="A541" s="1776" t="s">
        <v>2248</v>
      </c>
      <c r="B541" s="1776" t="s">
        <v>16</v>
      </c>
      <c r="C541" s="1776" t="s">
        <v>2972</v>
      </c>
      <c r="D541" s="1776" t="s">
        <v>2973</v>
      </c>
      <c r="E541" s="1776" t="s">
        <v>2974</v>
      </c>
      <c r="F541" s="1776" t="s">
        <v>2553</v>
      </c>
      <c r="G541" s="1776" t="s">
        <v>22</v>
      </c>
      <c r="H541" s="1776" t="s">
        <v>22</v>
      </c>
      <c r="I541" s="1776" t="s">
        <v>909</v>
      </c>
    </row>
    <row r="542" spans="1:9" ht="11.25" customHeight="1">
      <c r="A542" s="1776" t="s">
        <v>2248</v>
      </c>
      <c r="B542" s="1776" t="s">
        <v>16</v>
      </c>
      <c r="C542" s="1776" t="s">
        <v>3027</v>
      </c>
      <c r="D542" s="1776" t="s">
        <v>3028</v>
      </c>
      <c r="E542" s="1776" t="s">
        <v>3029</v>
      </c>
      <c r="F542" s="1776" t="s">
        <v>2653</v>
      </c>
      <c r="G542" s="1776" t="s">
        <v>22</v>
      </c>
      <c r="H542" s="1776" t="s">
        <v>22</v>
      </c>
      <c r="I542" s="1776" t="s">
        <v>909</v>
      </c>
    </row>
    <row r="543" spans="1:9" ht="11.25" customHeight="1">
      <c r="A543" s="1776" t="s">
        <v>2248</v>
      </c>
      <c r="B543" s="1776" t="s">
        <v>16</v>
      </c>
      <c r="C543" s="1776" t="s">
        <v>3037</v>
      </c>
      <c r="D543" s="1776" t="s">
        <v>3038</v>
      </c>
      <c r="E543" s="1776" t="s">
        <v>3039</v>
      </c>
      <c r="F543" s="1776" t="s">
        <v>2643</v>
      </c>
      <c r="G543" s="1776" t="s">
        <v>22</v>
      </c>
      <c r="H543" s="1776" t="s">
        <v>22</v>
      </c>
      <c r="I543" s="1776" t="s">
        <v>909</v>
      </c>
    </row>
    <row r="544" spans="1:9" ht="11.25" customHeight="1">
      <c r="A544" s="1776" t="s">
        <v>2248</v>
      </c>
      <c r="B544" s="1776" t="s">
        <v>16</v>
      </c>
      <c r="C544" s="1776" t="s">
        <v>3040</v>
      </c>
      <c r="D544" s="1776" t="s">
        <v>3041</v>
      </c>
      <c r="E544" s="1776" t="s">
        <v>3042</v>
      </c>
      <c r="F544" s="1776" t="s">
        <v>2653</v>
      </c>
      <c r="G544" s="1776" t="s">
        <v>22</v>
      </c>
      <c r="H544" s="1776" t="s">
        <v>22</v>
      </c>
      <c r="I544" s="1776" t="s">
        <v>909</v>
      </c>
    </row>
    <row r="545" spans="1:9" ht="11.25" customHeight="1">
      <c r="A545" s="1776" t="s">
        <v>2248</v>
      </c>
      <c r="B545" s="1776" t="s">
        <v>16</v>
      </c>
      <c r="C545" s="1776" t="s">
        <v>3043</v>
      </c>
      <c r="D545" s="1776" t="s">
        <v>3044</v>
      </c>
      <c r="E545" s="1776" t="s">
        <v>3045</v>
      </c>
      <c r="F545" s="1776" t="s">
        <v>2335</v>
      </c>
      <c r="G545" s="1776" t="s">
        <v>3046</v>
      </c>
      <c r="H545" s="1776" t="s">
        <v>22</v>
      </c>
      <c r="I545" s="1776" t="s">
        <v>909</v>
      </c>
    </row>
    <row r="546" spans="1:9" ht="11.25" customHeight="1">
      <c r="A546" s="1776" t="s">
        <v>2248</v>
      </c>
      <c r="B546" s="1776" t="s">
        <v>16</v>
      </c>
      <c r="C546" s="1776" t="s">
        <v>2388</v>
      </c>
      <c r="D546" s="1776" t="s">
        <v>2389</v>
      </c>
      <c r="E546" s="1776" t="s">
        <v>2390</v>
      </c>
      <c r="F546" s="1776" t="s">
        <v>2374</v>
      </c>
      <c r="G546" s="1776" t="s">
        <v>2391</v>
      </c>
      <c r="H546" s="1776" t="s">
        <v>22</v>
      </c>
      <c r="I546" s="1776" t="s">
        <v>909</v>
      </c>
    </row>
    <row r="547" spans="1:9" ht="11.25" customHeight="1">
      <c r="A547" s="1776" t="s">
        <v>2248</v>
      </c>
      <c r="B547" s="1776" t="s">
        <v>16</v>
      </c>
      <c r="C547" s="1776" t="s">
        <v>3207</v>
      </c>
      <c r="D547" s="1776" t="s">
        <v>3208</v>
      </c>
      <c r="E547" s="1776" t="s">
        <v>3209</v>
      </c>
      <c r="F547" s="1776" t="s">
        <v>2596</v>
      </c>
      <c r="G547" s="1776" t="s">
        <v>22</v>
      </c>
      <c r="H547" s="1776" t="s">
        <v>22</v>
      </c>
      <c r="I547" s="1776" t="s">
        <v>909</v>
      </c>
    </row>
    <row r="548" spans="1:9" ht="11.25" customHeight="1">
      <c r="A548" s="1776" t="s">
        <v>2248</v>
      </c>
      <c r="B548" s="1776" t="s">
        <v>16</v>
      </c>
      <c r="C548" s="1776" t="s">
        <v>2404</v>
      </c>
      <c r="D548" s="1776" t="s">
        <v>2405</v>
      </c>
      <c r="E548" s="1776" t="s">
        <v>2406</v>
      </c>
      <c r="F548" s="1776" t="s">
        <v>2407</v>
      </c>
      <c r="G548" s="1776" t="s">
        <v>2408</v>
      </c>
      <c r="H548" s="1776" t="s">
        <v>22</v>
      </c>
      <c r="I548" s="1776" t="s">
        <v>909</v>
      </c>
    </row>
    <row r="549" spans="1:9" ht="11.25" customHeight="1">
      <c r="A549" s="1776" t="s">
        <v>2248</v>
      </c>
      <c r="B549" s="1776" t="s">
        <v>16</v>
      </c>
      <c r="C549" s="1776" t="s">
        <v>3225</v>
      </c>
      <c r="D549" s="1776" t="s">
        <v>3226</v>
      </c>
      <c r="E549" s="1776" t="s">
        <v>3227</v>
      </c>
      <c r="F549" s="1776" t="s">
        <v>2425</v>
      </c>
      <c r="G549" s="1776" t="s">
        <v>3228</v>
      </c>
      <c r="H549" s="1776" t="s">
        <v>22</v>
      </c>
      <c r="I549" s="1776" t="s">
        <v>909</v>
      </c>
    </row>
    <row r="550" spans="1:9" ht="11.25" customHeight="1">
      <c r="A550" s="1776" t="s">
        <v>2248</v>
      </c>
      <c r="B550" s="1776" t="s">
        <v>16</v>
      </c>
      <c r="C550" s="1776" t="s">
        <v>2409</v>
      </c>
      <c r="D550" s="1776" t="s">
        <v>2410</v>
      </c>
      <c r="E550" s="1776" t="s">
        <v>2411</v>
      </c>
      <c r="F550" s="1776" t="s">
        <v>2412</v>
      </c>
      <c r="G550" s="1776" t="s">
        <v>2413</v>
      </c>
      <c r="H550" s="1776" t="s">
        <v>22</v>
      </c>
      <c r="I550" s="1776" t="s">
        <v>909</v>
      </c>
    </row>
    <row r="551" spans="1:9" ht="11.25" customHeight="1">
      <c r="A551" s="1776" t="s">
        <v>2248</v>
      </c>
      <c r="B551" s="1776" t="s">
        <v>16</v>
      </c>
      <c r="C551" s="1776" t="s">
        <v>2414</v>
      </c>
      <c r="D551" s="1776" t="s">
        <v>2415</v>
      </c>
      <c r="E551" s="1776" t="s">
        <v>2416</v>
      </c>
      <c r="F551" s="1776" t="s">
        <v>2412</v>
      </c>
      <c r="G551" s="1776" t="s">
        <v>2417</v>
      </c>
      <c r="H551" s="1776" t="s">
        <v>22</v>
      </c>
      <c r="I551" s="1776" t="s">
        <v>909</v>
      </c>
    </row>
    <row r="552" spans="1:9" ht="11.25" customHeight="1">
      <c r="A552" s="1776" t="s">
        <v>2248</v>
      </c>
      <c r="B552" s="1776" t="s">
        <v>16</v>
      </c>
      <c r="C552" s="1776" t="s">
        <v>2418</v>
      </c>
      <c r="D552" s="1776" t="s">
        <v>2419</v>
      </c>
      <c r="E552" s="1776" t="s">
        <v>2420</v>
      </c>
      <c r="F552" s="1776" t="s">
        <v>2374</v>
      </c>
      <c r="G552" s="1776" t="s">
        <v>2421</v>
      </c>
      <c r="H552" s="1776" t="s">
        <v>22</v>
      </c>
      <c r="I552" s="1776" t="s">
        <v>909</v>
      </c>
    </row>
    <row r="553" spans="1:9" ht="11.25" customHeight="1">
      <c r="A553" s="1776" t="s">
        <v>2248</v>
      </c>
      <c r="B553" s="1776" t="s">
        <v>16</v>
      </c>
      <c r="C553" s="1776" t="s">
        <v>3276</v>
      </c>
      <c r="D553" s="1776" t="s">
        <v>3277</v>
      </c>
      <c r="E553" s="1776" t="s">
        <v>3278</v>
      </c>
      <c r="F553" s="1776" t="s">
        <v>2430</v>
      </c>
      <c r="G553" s="1776" t="s">
        <v>3279</v>
      </c>
      <c r="H553" s="1776" t="s">
        <v>22</v>
      </c>
      <c r="I553" s="1776" t="s">
        <v>909</v>
      </c>
    </row>
    <row r="554" spans="1:9" ht="11.25" customHeight="1">
      <c r="A554" s="1776" t="s">
        <v>2248</v>
      </c>
      <c r="B554" s="1776" t="s">
        <v>16</v>
      </c>
      <c r="C554" s="1776" t="s">
        <v>3283</v>
      </c>
      <c r="D554" s="1776" t="s">
        <v>3284</v>
      </c>
      <c r="E554" s="1776" t="s">
        <v>3285</v>
      </c>
      <c r="F554" s="1776" t="s">
        <v>2653</v>
      </c>
      <c r="G554" s="1776" t="s">
        <v>3286</v>
      </c>
      <c r="H554" s="1776" t="s">
        <v>22</v>
      </c>
      <c r="I554" s="1776" t="s">
        <v>909</v>
      </c>
    </row>
    <row r="555" spans="1:9" ht="11.25" customHeight="1">
      <c r="A555" s="1776" t="s">
        <v>2248</v>
      </c>
      <c r="B555" s="1776" t="s">
        <v>16</v>
      </c>
      <c r="C555" s="1776" t="s">
        <v>2432</v>
      </c>
      <c r="D555" s="1776" t="s">
        <v>2433</v>
      </c>
      <c r="E555" s="1776" t="s">
        <v>2434</v>
      </c>
      <c r="F555" s="1776" t="s">
        <v>2330</v>
      </c>
      <c r="G555" s="1776" t="s">
        <v>2435</v>
      </c>
      <c r="H555" s="1776" t="s">
        <v>22</v>
      </c>
      <c r="I555" s="1776" t="s">
        <v>909</v>
      </c>
    </row>
    <row r="556" spans="1:9" ht="11.25" customHeight="1">
      <c r="A556" s="1776" t="s">
        <v>2248</v>
      </c>
      <c r="B556" s="1776" t="s">
        <v>16</v>
      </c>
      <c r="C556" s="1776" t="s">
        <v>2450</v>
      </c>
      <c r="D556" s="1776" t="s">
        <v>2451</v>
      </c>
      <c r="E556" s="1776" t="s">
        <v>2452</v>
      </c>
      <c r="F556" s="1776" t="s">
        <v>2312</v>
      </c>
      <c r="G556" s="1776" t="s">
        <v>2453</v>
      </c>
      <c r="H556" s="1776" t="s">
        <v>22</v>
      </c>
      <c r="I556" s="1776" t="s">
        <v>909</v>
      </c>
    </row>
    <row r="557" spans="1:9" ht="11.25" customHeight="1">
      <c r="A557" s="1776" t="s">
        <v>2248</v>
      </c>
      <c r="B557" s="1776" t="s">
        <v>16</v>
      </c>
      <c r="C557" s="1776" t="s">
        <v>2454</v>
      </c>
      <c r="D557" s="1776" t="s">
        <v>2455</v>
      </c>
      <c r="E557" s="1776" t="s">
        <v>2456</v>
      </c>
      <c r="F557" s="1776" t="s">
        <v>2457</v>
      </c>
      <c r="G557" s="1776" t="s">
        <v>2458</v>
      </c>
      <c r="H557" s="1776" t="s">
        <v>22</v>
      </c>
      <c r="I557" s="1776" t="s">
        <v>909</v>
      </c>
    </row>
    <row r="558" spans="1:9" ht="11.25" customHeight="1">
      <c r="A558" s="1776" t="s">
        <v>2248</v>
      </c>
      <c r="B558" s="1776" t="s">
        <v>16</v>
      </c>
      <c r="C558" s="1776" t="s">
        <v>2459</v>
      </c>
      <c r="D558" s="1776" t="s">
        <v>2460</v>
      </c>
      <c r="E558" s="1776" t="s">
        <v>2461</v>
      </c>
      <c r="F558" s="1776" t="s">
        <v>2350</v>
      </c>
      <c r="G558" s="1776" t="s">
        <v>2462</v>
      </c>
      <c r="H558" s="1776" t="s">
        <v>2391</v>
      </c>
      <c r="I558" s="1776" t="s">
        <v>909</v>
      </c>
    </row>
    <row r="559" spans="1:9" ht="11.25" customHeight="1">
      <c r="A559" s="1776" t="s">
        <v>2248</v>
      </c>
      <c r="B559" s="1776" t="s">
        <v>16</v>
      </c>
      <c r="C559" s="1776" t="s">
        <v>3301</v>
      </c>
      <c r="D559" s="1776" t="s">
        <v>3302</v>
      </c>
      <c r="E559" s="1776" t="s">
        <v>3303</v>
      </c>
      <c r="F559" s="1776" t="s">
        <v>2653</v>
      </c>
      <c r="G559" s="1776" t="s">
        <v>3304</v>
      </c>
      <c r="H559" s="1776" t="s">
        <v>22</v>
      </c>
      <c r="I559" s="1776" t="s">
        <v>909</v>
      </c>
    </row>
    <row r="560" spans="1:9" ht="11.25" customHeight="1">
      <c r="A560" s="1776" t="s">
        <v>2248</v>
      </c>
      <c r="B560" s="1776" t="s">
        <v>16</v>
      </c>
      <c r="C560" s="1776" t="s">
        <v>3309</v>
      </c>
      <c r="D560" s="1776" t="s">
        <v>3310</v>
      </c>
      <c r="E560" s="1776" t="s">
        <v>3311</v>
      </c>
      <c r="F560" s="1776" t="s">
        <v>2553</v>
      </c>
      <c r="G560" s="1776" t="s">
        <v>2403</v>
      </c>
      <c r="H560" s="1776" t="s">
        <v>22</v>
      </c>
      <c r="I560" s="1776" t="s">
        <v>909</v>
      </c>
    </row>
    <row r="561" spans="1:9" ht="11.25" customHeight="1">
      <c r="A561" s="1776" t="s">
        <v>2248</v>
      </c>
      <c r="B561" s="1776" t="s">
        <v>16</v>
      </c>
      <c r="C561" s="1776" t="s">
        <v>3312</v>
      </c>
      <c r="D561" s="1776" t="s">
        <v>3313</v>
      </c>
      <c r="E561" s="1776" t="s">
        <v>3314</v>
      </c>
      <c r="F561" s="1776" t="s">
        <v>2256</v>
      </c>
      <c r="G561" s="1776" t="s">
        <v>3315</v>
      </c>
      <c r="H561" s="1776" t="s">
        <v>22</v>
      </c>
      <c r="I561" s="1776" t="s">
        <v>909</v>
      </c>
    </row>
    <row r="562" spans="1:9" ht="11.25" customHeight="1">
      <c r="A562" s="1776" t="s">
        <v>2248</v>
      </c>
      <c r="B562" s="1776" t="s">
        <v>16</v>
      </c>
      <c r="C562" s="1776" t="s">
        <v>3316</v>
      </c>
      <c r="D562" s="1776" t="s">
        <v>3313</v>
      </c>
      <c r="E562" s="1776" t="s">
        <v>3317</v>
      </c>
      <c r="F562" s="1776" t="s">
        <v>2568</v>
      </c>
      <c r="G562" s="1776" t="s">
        <v>3318</v>
      </c>
      <c r="H562" s="1776" t="s">
        <v>22</v>
      </c>
      <c r="I562" s="1776" t="s">
        <v>909</v>
      </c>
    </row>
    <row r="563" spans="1:9" ht="11.25" customHeight="1">
      <c r="A563" s="1776" t="s">
        <v>2248</v>
      </c>
      <c r="B563" s="1776" t="s">
        <v>16</v>
      </c>
      <c r="C563" s="1776" t="s">
        <v>3319</v>
      </c>
      <c r="D563" s="1776" t="s">
        <v>3320</v>
      </c>
      <c r="E563" s="1776" t="s">
        <v>3321</v>
      </c>
      <c r="F563" s="1776" t="s">
        <v>2577</v>
      </c>
      <c r="G563" s="1776" t="s">
        <v>3322</v>
      </c>
      <c r="H563" s="1776" t="s">
        <v>22</v>
      </c>
      <c r="I563" s="1776" t="s">
        <v>909</v>
      </c>
    </row>
    <row r="564" spans="1:9" ht="11.25" customHeight="1">
      <c r="A564" s="1776" t="s">
        <v>2248</v>
      </c>
      <c r="B564" s="1776" t="s">
        <v>16</v>
      </c>
      <c r="C564" s="1776" t="s">
        <v>3334</v>
      </c>
      <c r="D564" s="1776" t="s">
        <v>3335</v>
      </c>
      <c r="E564" s="1776" t="s">
        <v>3336</v>
      </c>
      <c r="F564" s="1776" t="s">
        <v>3337</v>
      </c>
      <c r="G564" s="1776" t="s">
        <v>3338</v>
      </c>
      <c r="H564" s="1776" t="s">
        <v>22</v>
      </c>
      <c r="I564" s="1776" t="s">
        <v>909</v>
      </c>
    </row>
    <row r="565" spans="1:9" ht="11.25" customHeight="1">
      <c r="A565" s="1776" t="s">
        <v>2248</v>
      </c>
      <c r="B565" s="1776" t="s">
        <v>16</v>
      </c>
      <c r="C565" s="1776" t="s">
        <v>2471</v>
      </c>
      <c r="D565" s="1776" t="s">
        <v>2472</v>
      </c>
      <c r="E565" s="1776" t="s">
        <v>2473</v>
      </c>
      <c r="F565" s="1776" t="s">
        <v>2364</v>
      </c>
      <c r="G565" s="1776" t="s">
        <v>2474</v>
      </c>
      <c r="H565" s="1776" t="s">
        <v>22</v>
      </c>
      <c r="I565" s="1776" t="s">
        <v>909</v>
      </c>
    </row>
    <row r="566" spans="1:9" ht="11.25" customHeight="1">
      <c r="A566" s="1776" t="s">
        <v>2248</v>
      </c>
      <c r="B566" s="1776" t="s">
        <v>16</v>
      </c>
      <c r="C566" s="1776" t="s">
        <v>2475</v>
      </c>
      <c r="D566" s="1776" t="s">
        <v>2476</v>
      </c>
      <c r="E566" s="1776" t="s">
        <v>2477</v>
      </c>
      <c r="F566" s="1776" t="s">
        <v>2478</v>
      </c>
      <c r="G566" s="1776" t="s">
        <v>2479</v>
      </c>
      <c r="H566" s="1776" t="s">
        <v>22</v>
      </c>
      <c r="I566" s="1776" t="s">
        <v>909</v>
      </c>
    </row>
    <row r="567" spans="1:9" ht="11.25" customHeight="1">
      <c r="A567" s="1776" t="s">
        <v>2248</v>
      </c>
      <c r="B567" s="1776" t="s">
        <v>16</v>
      </c>
      <c r="C567" s="1776" t="s">
        <v>2490</v>
      </c>
      <c r="D567" s="1776" t="s">
        <v>2491</v>
      </c>
      <c r="E567" s="1776" t="s">
        <v>2492</v>
      </c>
      <c r="F567" s="1776" t="s">
        <v>2430</v>
      </c>
      <c r="G567" s="1776" t="s">
        <v>2493</v>
      </c>
      <c r="H567" s="1776" t="s">
        <v>22</v>
      </c>
      <c r="I567" s="1776" t="s">
        <v>909</v>
      </c>
    </row>
    <row r="568" spans="1:9" ht="11.25" customHeight="1">
      <c r="A568" s="1776" t="s">
        <v>2248</v>
      </c>
      <c r="B568" s="1776" t="s">
        <v>16</v>
      </c>
      <c r="C568" s="1776" t="s">
        <v>2499</v>
      </c>
      <c r="D568" s="1776" t="s">
        <v>2500</v>
      </c>
      <c r="E568" s="1776" t="s">
        <v>2501</v>
      </c>
      <c r="F568" s="1776" t="s">
        <v>2364</v>
      </c>
      <c r="G568" s="1776" t="s">
        <v>2502</v>
      </c>
      <c r="H568" s="1776" t="s">
        <v>22</v>
      </c>
      <c r="I568" s="1776" t="s">
        <v>909</v>
      </c>
    </row>
    <row r="569" spans="1:9" ht="11.25" customHeight="1">
      <c r="A569" s="1776" t="s">
        <v>2248</v>
      </c>
      <c r="B569" s="1776" t="s">
        <v>16</v>
      </c>
      <c r="C569" s="1776" t="s">
        <v>2503</v>
      </c>
      <c r="D569" s="1776" t="s">
        <v>2504</v>
      </c>
      <c r="E569" s="1776" t="s">
        <v>2505</v>
      </c>
      <c r="F569" s="1776" t="s">
        <v>2506</v>
      </c>
      <c r="G569" s="1776" t="s">
        <v>2507</v>
      </c>
      <c r="H569" s="1776" t="s">
        <v>22</v>
      </c>
      <c r="I569" s="1776" t="s">
        <v>909</v>
      </c>
    </row>
    <row r="570" spans="1:9" ht="11.25" customHeight="1">
      <c r="A570" s="1776" t="s">
        <v>2248</v>
      </c>
      <c r="B570" s="1776" t="s">
        <v>16</v>
      </c>
      <c r="C570" s="1776" t="s">
        <v>2508</v>
      </c>
      <c r="D570" s="1776" t="s">
        <v>2509</v>
      </c>
      <c r="E570" s="1776" t="s">
        <v>2510</v>
      </c>
      <c r="F570" s="1776" t="s">
        <v>2312</v>
      </c>
      <c r="G570" s="1776" t="s">
        <v>2511</v>
      </c>
      <c r="H570" s="1776" t="s">
        <v>22</v>
      </c>
      <c r="I570" s="1776" t="s">
        <v>909</v>
      </c>
    </row>
    <row r="571" spans="1:9" ht="11.25" customHeight="1">
      <c r="A571" s="1776" t="s">
        <v>2248</v>
      </c>
      <c r="B571" s="1776" t="s">
        <v>16</v>
      </c>
      <c r="C571" s="1776" t="s">
        <v>3355</v>
      </c>
      <c r="D571" s="1776" t="s">
        <v>3356</v>
      </c>
      <c r="E571" s="1776" t="s">
        <v>3357</v>
      </c>
      <c r="F571" s="1776" t="s">
        <v>2653</v>
      </c>
      <c r="G571" s="1776" t="s">
        <v>22</v>
      </c>
      <c r="H571" s="1776" t="s">
        <v>22</v>
      </c>
      <c r="I571" s="1776" t="s">
        <v>909</v>
      </c>
    </row>
    <row r="572" spans="1:9" ht="11.25" customHeight="1">
      <c r="A572" s="1776" t="s">
        <v>2248</v>
      </c>
      <c r="B572" s="1776" t="s">
        <v>16</v>
      </c>
      <c r="C572" s="1776" t="s">
        <v>3358</v>
      </c>
      <c r="D572" s="1776" t="s">
        <v>3359</v>
      </c>
      <c r="E572" s="1776" t="s">
        <v>3360</v>
      </c>
      <c r="F572" s="1776" t="s">
        <v>2312</v>
      </c>
      <c r="G572" s="1776" t="s">
        <v>2520</v>
      </c>
      <c r="H572" s="1776" t="s">
        <v>22</v>
      </c>
      <c r="I572" s="1776" t="s">
        <v>909</v>
      </c>
    </row>
    <row r="573" spans="1:9" ht="11.25" customHeight="1">
      <c r="A573" s="1776" t="s">
        <v>2248</v>
      </c>
      <c r="B573" s="1776" t="s">
        <v>16</v>
      </c>
      <c r="C573" s="1776" t="s">
        <v>3361</v>
      </c>
      <c r="D573" s="1776" t="s">
        <v>3362</v>
      </c>
      <c r="E573" s="1776" t="s">
        <v>3363</v>
      </c>
      <c r="F573" s="1776" t="s">
        <v>2364</v>
      </c>
      <c r="G573" s="1776" t="s">
        <v>22</v>
      </c>
      <c r="H573" s="1776" t="s">
        <v>22</v>
      </c>
      <c r="I573" s="1776" t="s">
        <v>909</v>
      </c>
    </row>
    <row r="574" spans="1:9" ht="11.25" customHeight="1">
      <c r="A574" s="1776" t="s">
        <v>2248</v>
      </c>
      <c r="B574" s="1776" t="s">
        <v>16</v>
      </c>
      <c r="C574" s="1776" t="s">
        <v>3364</v>
      </c>
      <c r="D574" s="1776" t="s">
        <v>3365</v>
      </c>
      <c r="E574" s="1776" t="s">
        <v>3366</v>
      </c>
      <c r="F574" s="1776" t="s">
        <v>2553</v>
      </c>
      <c r="G574" s="1776" t="s">
        <v>22</v>
      </c>
      <c r="H574" s="1776" t="s">
        <v>22</v>
      </c>
      <c r="I574" s="1776" t="s">
        <v>909</v>
      </c>
    </row>
    <row r="575" spans="1:9" ht="11.25" customHeight="1">
      <c r="A575" s="1776" t="s">
        <v>2248</v>
      </c>
      <c r="B575" s="1776" t="s">
        <v>16</v>
      </c>
      <c r="C575" s="1776" t="s">
        <v>3367</v>
      </c>
      <c r="D575" s="1776" t="s">
        <v>3368</v>
      </c>
      <c r="E575" s="1776" t="s">
        <v>3369</v>
      </c>
      <c r="F575" s="1776" t="s">
        <v>2364</v>
      </c>
      <c r="G575" s="1776" t="s">
        <v>3370</v>
      </c>
      <c r="H575" s="1776" t="s">
        <v>22</v>
      </c>
      <c r="I575" s="1776" t="s">
        <v>909</v>
      </c>
    </row>
    <row r="576" spans="1:9" ht="11.25" customHeight="1">
      <c r="A576" s="1776" t="s">
        <v>2248</v>
      </c>
      <c r="B576" s="1776" t="s">
        <v>16</v>
      </c>
      <c r="C576" s="1776" t="s">
        <v>3371</v>
      </c>
      <c r="D576" s="1776" t="s">
        <v>3372</v>
      </c>
      <c r="E576" s="1776" t="s">
        <v>3373</v>
      </c>
      <c r="F576" s="1776" t="s">
        <v>2430</v>
      </c>
      <c r="G576" s="1776" t="s">
        <v>22</v>
      </c>
      <c r="H576" s="1776" t="s">
        <v>22</v>
      </c>
      <c r="I576" s="1776" t="s">
        <v>909</v>
      </c>
    </row>
    <row r="577" spans="1:9" ht="11.25" customHeight="1">
      <c r="A577" s="1776" t="s">
        <v>2248</v>
      </c>
      <c r="B577" s="1776" t="s">
        <v>16</v>
      </c>
      <c r="C577" s="1776" t="s">
        <v>3374</v>
      </c>
      <c r="D577" s="1776" t="s">
        <v>3375</v>
      </c>
      <c r="E577" s="1776" t="s">
        <v>3376</v>
      </c>
      <c r="F577" s="1776" t="s">
        <v>2653</v>
      </c>
      <c r="G577" s="1776" t="s">
        <v>3377</v>
      </c>
      <c r="H577" s="1776" t="s">
        <v>22</v>
      </c>
      <c r="I577" s="1776" t="s">
        <v>909</v>
      </c>
    </row>
    <row r="578" spans="1:9" ht="11.25" customHeight="1">
      <c r="A578" s="1776" t="s">
        <v>2248</v>
      </c>
      <c r="B578" s="1776" t="s">
        <v>16</v>
      </c>
      <c r="C578" s="1776" t="s">
        <v>2533</v>
      </c>
      <c r="D578" s="1776" t="s">
        <v>2534</v>
      </c>
      <c r="E578" s="1776" t="s">
        <v>2535</v>
      </c>
      <c r="F578" s="1776" t="s">
        <v>2430</v>
      </c>
      <c r="G578" s="1776" t="s">
        <v>2536</v>
      </c>
      <c r="H578" s="1776" t="s">
        <v>22</v>
      </c>
      <c r="I578" s="1776" t="s">
        <v>909</v>
      </c>
    </row>
    <row r="579" spans="1:9" ht="11.25" customHeight="1">
      <c r="A579" s="1776" t="s">
        <v>2248</v>
      </c>
      <c r="B579" s="1776" t="s">
        <v>16</v>
      </c>
      <c r="C579" s="1776" t="s">
        <v>3394</v>
      </c>
      <c r="D579" s="1776" t="s">
        <v>3395</v>
      </c>
      <c r="E579" s="1776" t="s">
        <v>3396</v>
      </c>
      <c r="F579" s="1776" t="s">
        <v>2653</v>
      </c>
      <c r="G579" s="1776" t="s">
        <v>3397</v>
      </c>
      <c r="H579" s="1776" t="s">
        <v>22</v>
      </c>
      <c r="I579" s="1776" t="s">
        <v>909</v>
      </c>
    </row>
    <row r="580" spans="1:9" ht="11.25" customHeight="1">
      <c r="A580" s="1776" t="s">
        <v>2248</v>
      </c>
      <c r="B580" s="1776" t="s">
        <v>16</v>
      </c>
      <c r="C580" s="1776" t="s">
        <v>2537</v>
      </c>
      <c r="D580" s="1776" t="s">
        <v>2538</v>
      </c>
      <c r="E580" s="1776" t="s">
        <v>2539</v>
      </c>
      <c r="F580" s="1776" t="s">
        <v>2506</v>
      </c>
      <c r="G580" s="1776" t="s">
        <v>2540</v>
      </c>
      <c r="H580" s="1776" t="s">
        <v>22</v>
      </c>
      <c r="I580" s="1776" t="s">
        <v>909</v>
      </c>
    </row>
    <row r="581" spans="1:9" ht="11.25" customHeight="1">
      <c r="A581" s="1776" t="s">
        <v>2248</v>
      </c>
      <c r="B581" s="1776" t="s">
        <v>16</v>
      </c>
      <c r="C581" s="1776" t="s">
        <v>2541</v>
      </c>
      <c r="D581" s="1776" t="s">
        <v>2542</v>
      </c>
      <c r="E581" s="1776" t="s">
        <v>2543</v>
      </c>
      <c r="F581" s="1776" t="s">
        <v>2364</v>
      </c>
      <c r="G581" s="1776" t="s">
        <v>22</v>
      </c>
      <c r="H581" s="1776" t="s">
        <v>22</v>
      </c>
      <c r="I581" s="1776" t="s">
        <v>909</v>
      </c>
    </row>
    <row r="582" spans="1:9" ht="11.25" customHeight="1">
      <c r="A582" s="1776" t="s">
        <v>2248</v>
      </c>
      <c r="B582" s="1776" t="s">
        <v>16</v>
      </c>
      <c r="C582" s="1776" t="s">
        <v>13</v>
      </c>
      <c r="D582" s="1776" t="s">
        <v>46</v>
      </c>
      <c r="E582" s="1776" t="s">
        <v>49</v>
      </c>
      <c r="F582" s="1776" t="s">
        <v>51</v>
      </c>
      <c r="G582" s="1776" t="s">
        <v>3404</v>
      </c>
      <c r="H582" s="1776" t="s">
        <v>22</v>
      </c>
      <c r="I582" s="1776" t="s">
        <v>909</v>
      </c>
    </row>
    <row r="583" spans="1:9" ht="11.25" customHeight="1">
      <c r="A583" s="1776" t="s">
        <v>2248</v>
      </c>
      <c r="B583" s="1776" t="s">
        <v>16</v>
      </c>
      <c r="C583" s="1776" t="s">
        <v>3405</v>
      </c>
      <c r="D583" s="1776" t="s">
        <v>3406</v>
      </c>
      <c r="E583" s="1776" t="s">
        <v>3407</v>
      </c>
      <c r="F583" s="1776" t="s">
        <v>2553</v>
      </c>
      <c r="G583" s="1776" t="s">
        <v>3408</v>
      </c>
      <c r="H583" s="1776" t="s">
        <v>22</v>
      </c>
      <c r="I583" s="1776" t="s">
        <v>909</v>
      </c>
    </row>
    <row r="584" spans="1:9" ht="11.25" customHeight="1">
      <c r="A584" s="1776" t="s">
        <v>2248</v>
      </c>
      <c r="B584" s="1776" t="s">
        <v>16</v>
      </c>
      <c r="C584" s="1776" t="s">
        <v>2550</v>
      </c>
      <c r="D584" s="1776" t="s">
        <v>2551</v>
      </c>
      <c r="E584" s="1776" t="s">
        <v>2552</v>
      </c>
      <c r="F584" s="1776" t="s">
        <v>2553</v>
      </c>
      <c r="G584" s="1776" t="s">
        <v>2554</v>
      </c>
      <c r="H584" s="1776" t="s">
        <v>22</v>
      </c>
      <c r="I584" s="1776" t="s">
        <v>909</v>
      </c>
    </row>
    <row r="585" spans="1:9" ht="11.25" customHeight="1">
      <c r="A585" s="1776" t="s">
        <v>2248</v>
      </c>
      <c r="B585" s="1776" t="s">
        <v>16</v>
      </c>
      <c r="C585" s="1776" t="s">
        <v>3427</v>
      </c>
      <c r="D585" s="1776" t="s">
        <v>3428</v>
      </c>
      <c r="E585" s="1776" t="s">
        <v>3429</v>
      </c>
      <c r="F585" s="1776" t="s">
        <v>2312</v>
      </c>
      <c r="G585" s="1776" t="s">
        <v>3430</v>
      </c>
      <c r="H585" s="1776" t="s">
        <v>22</v>
      </c>
      <c r="I585" s="1776" t="s">
        <v>909</v>
      </c>
    </row>
    <row r="586" spans="1:9" ht="11.25" customHeight="1">
      <c r="A586" s="1776" t="s">
        <v>2248</v>
      </c>
      <c r="B586" s="1776" t="s">
        <v>16</v>
      </c>
      <c r="C586" s="1776" t="s">
        <v>2561</v>
      </c>
      <c r="D586" s="1776" t="s">
        <v>2562</v>
      </c>
      <c r="E586" s="1776" t="s">
        <v>2563</v>
      </c>
      <c r="F586" s="1776" t="s">
        <v>2553</v>
      </c>
      <c r="G586" s="1776" t="s">
        <v>2564</v>
      </c>
      <c r="H586" s="1776" t="s">
        <v>22</v>
      </c>
      <c r="I586" s="1776" t="s">
        <v>909</v>
      </c>
    </row>
    <row r="587" spans="1:9" ht="11.25" customHeight="1">
      <c r="A587" s="1776" t="s">
        <v>2248</v>
      </c>
      <c r="B587" s="1776" t="s">
        <v>16</v>
      </c>
      <c r="C587" s="1776" t="s">
        <v>3446</v>
      </c>
      <c r="D587" s="1776" t="s">
        <v>3447</v>
      </c>
      <c r="E587" s="1776" t="s">
        <v>3448</v>
      </c>
      <c r="F587" s="1776" t="s">
        <v>2553</v>
      </c>
      <c r="G587" s="1776" t="s">
        <v>22</v>
      </c>
      <c r="H587" s="1776" t="s">
        <v>22</v>
      </c>
      <c r="I587" s="1776" t="s">
        <v>909</v>
      </c>
    </row>
    <row r="588" spans="1:9" ht="11.25" customHeight="1">
      <c r="A588" s="1776" t="s">
        <v>2248</v>
      </c>
      <c r="B588" s="1776" t="s">
        <v>16</v>
      </c>
      <c r="C588" s="1776" t="s">
        <v>2586</v>
      </c>
      <c r="D588" s="1776" t="s">
        <v>2587</v>
      </c>
      <c r="E588" s="1776" t="s">
        <v>2588</v>
      </c>
      <c r="F588" s="1776" t="s">
        <v>2335</v>
      </c>
      <c r="G588" s="1776" t="s">
        <v>2589</v>
      </c>
      <c r="H588" s="1776" t="s">
        <v>22</v>
      </c>
      <c r="I588" s="1776" t="s">
        <v>909</v>
      </c>
    </row>
    <row r="589" spans="1:9" ht="11.25" customHeight="1">
      <c r="A589" s="1776" t="s">
        <v>2248</v>
      </c>
      <c r="B589" s="1776" t="s">
        <v>16</v>
      </c>
      <c r="C589" s="1776" t="s">
        <v>2590</v>
      </c>
      <c r="D589" s="1776" t="s">
        <v>2591</v>
      </c>
      <c r="E589" s="1776" t="s">
        <v>2592</v>
      </c>
      <c r="F589" s="1776" t="s">
        <v>2335</v>
      </c>
      <c r="G589" s="1776" t="s">
        <v>2585</v>
      </c>
      <c r="H589" s="1776" t="s">
        <v>22</v>
      </c>
      <c r="I589" s="1776" t="s">
        <v>909</v>
      </c>
    </row>
    <row r="590" spans="1:9" ht="11.25" customHeight="1">
      <c r="A590" s="1776" t="s">
        <v>2248</v>
      </c>
      <c r="B590" s="1776" t="s">
        <v>16</v>
      </c>
      <c r="C590" s="1776" t="s">
        <v>2598</v>
      </c>
      <c r="D590" s="1776" t="s">
        <v>2599</v>
      </c>
      <c r="E590" s="1776" t="s">
        <v>2600</v>
      </c>
      <c r="F590" s="1776" t="s">
        <v>2335</v>
      </c>
      <c r="G590" s="1776" t="s">
        <v>2601</v>
      </c>
      <c r="H590" s="1776" t="s">
        <v>22</v>
      </c>
      <c r="I590" s="1776" t="s">
        <v>909</v>
      </c>
    </row>
    <row r="591" spans="1:9" ht="11.25" customHeight="1">
      <c r="A591" s="1776" t="s">
        <v>2248</v>
      </c>
      <c r="B591" s="1776" t="s">
        <v>16</v>
      </c>
      <c r="C591" s="1776" t="s">
        <v>3491</v>
      </c>
      <c r="D591" s="1776" t="s">
        <v>3492</v>
      </c>
      <c r="E591" s="1776" t="s">
        <v>3493</v>
      </c>
      <c r="F591" s="1776" t="s">
        <v>2364</v>
      </c>
      <c r="G591" s="1776" t="s">
        <v>3494</v>
      </c>
      <c r="H591" s="1776" t="s">
        <v>22</v>
      </c>
      <c r="I591" s="1776" t="s">
        <v>909</v>
      </c>
    </row>
    <row r="592" spans="1:9" ht="11.25" customHeight="1">
      <c r="A592" s="1776" t="s">
        <v>2248</v>
      </c>
      <c r="B592" s="1776" t="s">
        <v>16</v>
      </c>
      <c r="C592" s="1776" t="s">
        <v>3495</v>
      </c>
      <c r="D592" s="1776" t="s">
        <v>3496</v>
      </c>
      <c r="E592" s="1776" t="s">
        <v>3497</v>
      </c>
      <c r="F592" s="1776" t="s">
        <v>2321</v>
      </c>
      <c r="G592" s="1776" t="s">
        <v>3498</v>
      </c>
      <c r="H592" s="1776" t="s">
        <v>22</v>
      </c>
      <c r="I592" s="1776" t="s">
        <v>909</v>
      </c>
    </row>
    <row r="593" spans="1:9" ht="11.25" customHeight="1">
      <c r="A593" s="1776" t="s">
        <v>2248</v>
      </c>
      <c r="B593" s="1776" t="s">
        <v>16</v>
      </c>
      <c r="C593" s="1776" t="s">
        <v>2606</v>
      </c>
      <c r="D593" s="1776" t="s">
        <v>2607</v>
      </c>
      <c r="E593" s="1776" t="s">
        <v>2608</v>
      </c>
      <c r="F593" s="1776" t="s">
        <v>2609</v>
      </c>
      <c r="G593" s="1776" t="s">
        <v>2610</v>
      </c>
      <c r="H593" s="1776" t="s">
        <v>22</v>
      </c>
      <c r="I593" s="1776" t="s">
        <v>909</v>
      </c>
    </row>
    <row r="594" spans="1:9" ht="11.25" customHeight="1">
      <c r="A594" s="1776" t="s">
        <v>2248</v>
      </c>
      <c r="B594" s="1776" t="s">
        <v>16</v>
      </c>
      <c r="C594" s="1776" t="s">
        <v>3499</v>
      </c>
      <c r="D594" s="1776" t="s">
        <v>3500</v>
      </c>
      <c r="E594" s="1776" t="s">
        <v>3501</v>
      </c>
      <c r="F594" s="1776" t="s">
        <v>2596</v>
      </c>
      <c r="G594" s="1776" t="s">
        <v>22</v>
      </c>
      <c r="H594" s="1776" t="s">
        <v>22</v>
      </c>
      <c r="I594" s="1776" t="s">
        <v>909</v>
      </c>
    </row>
    <row r="595" spans="1:9" ht="11.25" customHeight="1">
      <c r="A595" s="1776" t="s">
        <v>2248</v>
      </c>
      <c r="B595" s="1776" t="s">
        <v>16</v>
      </c>
      <c r="C595" s="1776" t="s">
        <v>3754</v>
      </c>
      <c r="D595" s="1776" t="s">
        <v>3755</v>
      </c>
      <c r="E595" s="1776" t="s">
        <v>3756</v>
      </c>
      <c r="F595" s="1776" t="s">
        <v>2568</v>
      </c>
      <c r="G595" s="1776" t="s">
        <v>3757</v>
      </c>
      <c r="H595" s="1776" t="s">
        <v>22</v>
      </c>
      <c r="I595" s="1776" t="s">
        <v>909</v>
      </c>
    </row>
    <row r="596" spans="1:9" ht="11.25" customHeight="1">
      <c r="A596" s="1776" t="s">
        <v>2248</v>
      </c>
      <c r="B596" s="1776" t="s">
        <v>16</v>
      </c>
      <c r="C596" s="1776" t="s">
        <v>3758</v>
      </c>
      <c r="D596" s="1776" t="s">
        <v>3759</v>
      </c>
      <c r="E596" s="1776" t="s">
        <v>3760</v>
      </c>
      <c r="F596" s="1776" t="s">
        <v>2568</v>
      </c>
      <c r="G596" s="1776" t="s">
        <v>3761</v>
      </c>
      <c r="H596" s="1776" t="s">
        <v>22</v>
      </c>
      <c r="I596" s="1776" t="s">
        <v>909</v>
      </c>
    </row>
    <row r="597" spans="1:9" ht="11.25" customHeight="1">
      <c r="A597" s="1776" t="s">
        <v>2248</v>
      </c>
      <c r="B597" s="1776" t="s">
        <v>16</v>
      </c>
      <c r="C597" s="1776" t="s">
        <v>3762</v>
      </c>
      <c r="D597" s="1776" t="s">
        <v>3763</v>
      </c>
      <c r="E597" s="1776" t="s">
        <v>3764</v>
      </c>
      <c r="F597" s="1776" t="s">
        <v>2335</v>
      </c>
      <c r="G597" s="1776" t="s">
        <v>3765</v>
      </c>
      <c r="H597" s="1776" t="s">
        <v>22</v>
      </c>
      <c r="I597" s="1776" t="s">
        <v>909</v>
      </c>
    </row>
    <row r="598" spans="1:9" ht="11.25" customHeight="1">
      <c r="A598" s="1776" t="s">
        <v>2248</v>
      </c>
      <c r="B598" s="1776" t="s">
        <v>16</v>
      </c>
      <c r="C598" s="1776" t="s">
        <v>3623</v>
      </c>
      <c r="D598" s="1776" t="s">
        <v>3624</v>
      </c>
      <c r="E598" s="1776" t="s">
        <v>3625</v>
      </c>
      <c r="F598" s="1776" t="s">
        <v>2374</v>
      </c>
      <c r="G598" s="1776" t="s">
        <v>3626</v>
      </c>
      <c r="H598" s="1776" t="s">
        <v>22</v>
      </c>
      <c r="I598" s="1776" t="s">
        <v>909</v>
      </c>
    </row>
    <row r="599" spans="1:9" ht="11.25" customHeight="1">
      <c r="A599" s="1776" t="s">
        <v>2248</v>
      </c>
      <c r="B599" s="1776" t="s">
        <v>16</v>
      </c>
      <c r="C599" s="1776" t="s">
        <v>2650</v>
      </c>
      <c r="D599" s="1776" t="s">
        <v>2651</v>
      </c>
      <c r="E599" s="1776" t="s">
        <v>2652</v>
      </c>
      <c r="F599" s="1776" t="s">
        <v>2653</v>
      </c>
      <c r="G599" s="1776" t="s">
        <v>22</v>
      </c>
      <c r="H599" s="1776" t="s">
        <v>22</v>
      </c>
      <c r="I599" s="1776" t="s">
        <v>909</v>
      </c>
    </row>
    <row r="600" spans="1:9" ht="11.25" customHeight="1">
      <c r="A600" s="1776" t="s">
        <v>2248</v>
      </c>
      <c r="B600" s="1776" t="s">
        <v>16</v>
      </c>
      <c r="C600" s="1776" t="s">
        <v>3766</v>
      </c>
      <c r="D600" s="1776" t="s">
        <v>3767</v>
      </c>
      <c r="E600" s="1776" t="s">
        <v>3768</v>
      </c>
      <c r="F600" s="1776" t="s">
        <v>2374</v>
      </c>
      <c r="G600" s="1776" t="s">
        <v>3769</v>
      </c>
      <c r="H600" s="1776" t="s">
        <v>22</v>
      </c>
      <c r="I600" s="1776" t="s">
        <v>909</v>
      </c>
    </row>
    <row r="601" spans="1:9" ht="11.25" customHeight="1">
      <c r="A601" s="1776" t="s">
        <v>2248</v>
      </c>
      <c r="B601" s="1776" t="s">
        <v>16</v>
      </c>
      <c r="C601" s="1776" t="s">
        <v>2654</v>
      </c>
      <c r="D601" s="1776" t="s">
        <v>2655</v>
      </c>
      <c r="E601" s="1776" t="s">
        <v>2656</v>
      </c>
      <c r="F601" s="1776" t="s">
        <v>2657</v>
      </c>
      <c r="G601" s="1776" t="s">
        <v>2658</v>
      </c>
      <c r="H601" s="1776" t="s">
        <v>22</v>
      </c>
      <c r="I601" s="1776" t="s">
        <v>909</v>
      </c>
    </row>
    <row r="602" spans="1:9" ht="11.25" customHeight="1">
      <c r="A602" s="1776" t="s">
        <v>2248</v>
      </c>
      <c r="B602" s="1776" t="s">
        <v>16</v>
      </c>
      <c r="C602" s="1776" t="s">
        <v>3635</v>
      </c>
      <c r="D602" s="1776" t="s">
        <v>3636</v>
      </c>
      <c r="E602" s="1776" t="s">
        <v>3637</v>
      </c>
      <c r="F602" s="1776" t="s">
        <v>2256</v>
      </c>
      <c r="G602" s="1776" t="s">
        <v>3634</v>
      </c>
      <c r="H602" s="1776" t="s">
        <v>22</v>
      </c>
      <c r="I602" s="1776" t="s">
        <v>909</v>
      </c>
    </row>
    <row r="603" spans="1:9" ht="11.25" customHeight="1">
      <c r="A603" s="1776" t="s">
        <v>2248</v>
      </c>
      <c r="B603" s="1776" t="s">
        <v>16</v>
      </c>
      <c r="C603" s="1776" t="s">
        <v>3770</v>
      </c>
      <c r="D603" s="1776" t="s">
        <v>3771</v>
      </c>
      <c r="E603" s="1776" t="s">
        <v>2890</v>
      </c>
      <c r="F603" s="1776" t="s">
        <v>3772</v>
      </c>
      <c r="G603" s="1776" t="s">
        <v>22</v>
      </c>
      <c r="H603" s="1776" t="s">
        <v>22</v>
      </c>
      <c r="I603" s="1776" t="s">
        <v>909</v>
      </c>
    </row>
    <row r="604" spans="1:9" ht="11.25" customHeight="1">
      <c r="A604" s="1776" t="s">
        <v>2248</v>
      </c>
      <c r="B604" s="1776" t="s">
        <v>16</v>
      </c>
      <c r="C604" s="1776" t="s">
        <v>3773</v>
      </c>
      <c r="D604" s="1776" t="s">
        <v>3774</v>
      </c>
      <c r="E604" s="1776" t="s">
        <v>2890</v>
      </c>
      <c r="F604" s="1776" t="s">
        <v>3775</v>
      </c>
      <c r="G604" s="1776" t="s">
        <v>22</v>
      </c>
      <c r="H604" s="1776" t="s">
        <v>22</v>
      </c>
      <c r="I604" s="1776" t="s">
        <v>909</v>
      </c>
    </row>
    <row r="605" spans="1:9" ht="11.25" customHeight="1">
      <c r="A605" s="1776" t="s">
        <v>2248</v>
      </c>
      <c r="B605" s="1776" t="s">
        <v>16</v>
      </c>
      <c r="C605" s="1776" t="s">
        <v>2712</v>
      </c>
      <c r="D605" s="1776" t="s">
        <v>2713</v>
      </c>
      <c r="E605" s="1776" t="s">
        <v>2714</v>
      </c>
      <c r="F605" s="1776" t="s">
        <v>2312</v>
      </c>
      <c r="G605" s="1776" t="s">
        <v>2715</v>
      </c>
      <c r="H605" s="1776" t="s">
        <v>22</v>
      </c>
      <c r="I605" s="1776" t="s">
        <v>909</v>
      </c>
    </row>
    <row r="606" spans="1:9" ht="11.25" customHeight="1">
      <c r="A606" s="1776" t="s">
        <v>2248</v>
      </c>
      <c r="B606" s="1776" t="s">
        <v>16</v>
      </c>
      <c r="C606" s="1776" t="s">
        <v>3638</v>
      </c>
      <c r="D606" s="1776" t="s">
        <v>3639</v>
      </c>
      <c r="E606" s="1776" t="s">
        <v>3640</v>
      </c>
      <c r="F606" s="1776" t="s">
        <v>2326</v>
      </c>
      <c r="G606" s="1776" t="s">
        <v>3641</v>
      </c>
      <c r="H606" s="1776" t="s">
        <v>22</v>
      </c>
      <c r="I606" s="1776" t="s">
        <v>909</v>
      </c>
    </row>
    <row r="607" spans="1:9" ht="11.25" customHeight="1">
      <c r="A607" s="1776" t="s">
        <v>2248</v>
      </c>
      <c r="B607" s="1776" t="s">
        <v>16</v>
      </c>
      <c r="C607" s="1776" t="s">
        <v>2732</v>
      </c>
      <c r="D607" s="1776" t="s">
        <v>2733</v>
      </c>
      <c r="E607" s="1776" t="s">
        <v>2734</v>
      </c>
      <c r="F607" s="1776" t="s">
        <v>2735</v>
      </c>
      <c r="G607" s="1776" t="s">
        <v>2736</v>
      </c>
      <c r="H607" s="1776" t="s">
        <v>22</v>
      </c>
      <c r="I607" s="1776" t="s">
        <v>909</v>
      </c>
    </row>
    <row r="608" spans="1:9" ht="11.25" customHeight="1">
      <c r="A608" s="1776" t="s">
        <v>2248</v>
      </c>
      <c r="B608" s="1776" t="s">
        <v>16</v>
      </c>
      <c r="C608" s="1776" t="s">
        <v>2740</v>
      </c>
      <c r="D608" s="1776" t="s">
        <v>2741</v>
      </c>
      <c r="E608" s="1776" t="s">
        <v>2742</v>
      </c>
      <c r="F608" s="1776" t="s">
        <v>2743</v>
      </c>
      <c r="G608" s="1776" t="s">
        <v>22</v>
      </c>
      <c r="H608" s="1776" t="s">
        <v>22</v>
      </c>
      <c r="I608" s="1776" t="s">
        <v>909</v>
      </c>
    </row>
    <row r="609" spans="1:9" ht="11.25" customHeight="1">
      <c r="A609" s="1776" t="s">
        <v>2248</v>
      </c>
      <c r="B609" s="1776" t="s">
        <v>16</v>
      </c>
      <c r="C609" s="1776" t="s">
        <v>3642</v>
      </c>
      <c r="D609" s="1776" t="s">
        <v>3643</v>
      </c>
      <c r="E609" s="1776" t="s">
        <v>3644</v>
      </c>
      <c r="F609" s="1776" t="s">
        <v>2439</v>
      </c>
      <c r="G609" s="1776" t="s">
        <v>3645</v>
      </c>
      <c r="H609" s="1776" t="s">
        <v>22</v>
      </c>
      <c r="I609" s="1776" t="s">
        <v>909</v>
      </c>
    </row>
    <row r="610" spans="1:9" ht="11.25" customHeight="1">
      <c r="A610" s="1776" t="s">
        <v>2248</v>
      </c>
      <c r="B610" s="1776" t="s">
        <v>16</v>
      </c>
      <c r="C610" s="1776" t="s">
        <v>3650</v>
      </c>
      <c r="D610" s="1776" t="s">
        <v>3651</v>
      </c>
      <c r="E610" s="1776" t="s">
        <v>3652</v>
      </c>
      <c r="F610" s="1776" t="s">
        <v>3653</v>
      </c>
      <c r="G610" s="1776" t="s">
        <v>22</v>
      </c>
      <c r="H610" s="1776" t="s">
        <v>22</v>
      </c>
      <c r="I610" s="1776" t="s">
        <v>909</v>
      </c>
    </row>
    <row r="611" spans="1:9" ht="11.25" customHeight="1">
      <c r="A611" s="1776" t="s">
        <v>2248</v>
      </c>
      <c r="B611" s="1776" t="s">
        <v>16</v>
      </c>
      <c r="C611" s="1776" t="s">
        <v>2760</v>
      </c>
      <c r="D611" s="1776" t="s">
        <v>2761</v>
      </c>
      <c r="E611" s="1776" t="s">
        <v>2762</v>
      </c>
      <c r="F611" s="1776" t="s">
        <v>2281</v>
      </c>
      <c r="G611" s="1776" t="s">
        <v>2763</v>
      </c>
      <c r="H611" s="1776" t="s">
        <v>22</v>
      </c>
      <c r="I611" s="1776" t="s">
        <v>909</v>
      </c>
    </row>
    <row r="612" spans="1:9" ht="11.25" customHeight="1">
      <c r="A612" s="1776" t="s">
        <v>2248</v>
      </c>
      <c r="B612" s="1776" t="s">
        <v>16</v>
      </c>
      <c r="C612" s="1776" t="s">
        <v>2767</v>
      </c>
      <c r="D612" s="1776" t="s">
        <v>2768</v>
      </c>
      <c r="E612" s="1776" t="s">
        <v>2769</v>
      </c>
      <c r="F612" s="1776" t="s">
        <v>2281</v>
      </c>
      <c r="G612" s="1776" t="s">
        <v>2770</v>
      </c>
      <c r="H612" s="1776" t="s">
        <v>22</v>
      </c>
      <c r="I612" s="1776" t="s">
        <v>909</v>
      </c>
    </row>
    <row r="613" spans="1:9" ht="11.25" customHeight="1">
      <c r="A613" s="1776" t="s">
        <v>2248</v>
      </c>
      <c r="B613" s="1776" t="s">
        <v>16</v>
      </c>
      <c r="C613" s="1776" t="s">
        <v>2787</v>
      </c>
      <c r="D613" s="1776" t="s">
        <v>2788</v>
      </c>
      <c r="E613" s="1776" t="s">
        <v>2789</v>
      </c>
      <c r="F613" s="1776" t="s">
        <v>2497</v>
      </c>
      <c r="G613" s="1776" t="s">
        <v>2511</v>
      </c>
      <c r="H613" s="1776" t="s">
        <v>22</v>
      </c>
      <c r="I613" s="1776" t="s">
        <v>909</v>
      </c>
    </row>
    <row r="614" spans="1:9" ht="11.25" customHeight="1">
      <c r="A614" s="1776" t="s">
        <v>2248</v>
      </c>
      <c r="B614" s="1776" t="s">
        <v>16</v>
      </c>
      <c r="C614" s="1776" t="s">
        <v>3661</v>
      </c>
      <c r="D614" s="1776" t="s">
        <v>3662</v>
      </c>
      <c r="E614" s="1776" t="s">
        <v>3663</v>
      </c>
      <c r="F614" s="1776" t="s">
        <v>2478</v>
      </c>
      <c r="G614" s="1776" t="s">
        <v>3664</v>
      </c>
      <c r="H614" s="1776" t="s">
        <v>22</v>
      </c>
      <c r="I614" s="1776" t="s">
        <v>909</v>
      </c>
    </row>
    <row r="615" spans="1:9" ht="11.25" customHeight="1">
      <c r="A615" s="1776" t="s">
        <v>2248</v>
      </c>
      <c r="B615" s="1776" t="s">
        <v>16</v>
      </c>
      <c r="C615" s="1776" t="s">
        <v>2794</v>
      </c>
      <c r="D615" s="1776" t="s">
        <v>2795</v>
      </c>
      <c r="E615" s="1776" t="s">
        <v>2796</v>
      </c>
      <c r="F615" s="1776" t="s">
        <v>2281</v>
      </c>
      <c r="G615" s="1776" t="s">
        <v>2797</v>
      </c>
      <c r="H615" s="1776" t="s">
        <v>22</v>
      </c>
      <c r="I615" s="1776" t="s">
        <v>909</v>
      </c>
    </row>
    <row r="616" spans="1:9" ht="11.25" customHeight="1">
      <c r="A616" s="1776" t="s">
        <v>2248</v>
      </c>
      <c r="B616" s="1776" t="s">
        <v>16</v>
      </c>
      <c r="C616" s="1776" t="s">
        <v>3671</v>
      </c>
      <c r="D616" s="1776" t="s">
        <v>3672</v>
      </c>
      <c r="E616" s="1776" t="s">
        <v>3673</v>
      </c>
      <c r="F616" s="1776" t="s">
        <v>2488</v>
      </c>
      <c r="G616" s="1776" t="s">
        <v>3674</v>
      </c>
      <c r="H616" s="1776" t="s">
        <v>22</v>
      </c>
      <c r="I616" s="1776" t="s">
        <v>909</v>
      </c>
    </row>
    <row r="617" spans="1:9" ht="11.25" customHeight="1">
      <c r="A617" s="1776" t="s">
        <v>2248</v>
      </c>
      <c r="B617" s="1776" t="s">
        <v>16</v>
      </c>
      <c r="C617" s="1776" t="s">
        <v>2843</v>
      </c>
      <c r="D617" s="1776" t="s">
        <v>2844</v>
      </c>
      <c r="E617" s="1776" t="s">
        <v>2845</v>
      </c>
      <c r="F617" s="1776" t="s">
        <v>2619</v>
      </c>
      <c r="G617" s="1776" t="s">
        <v>2846</v>
      </c>
      <c r="H617" s="1776" t="s">
        <v>22</v>
      </c>
      <c r="I617" s="1776" t="s">
        <v>909</v>
      </c>
    </row>
    <row r="618" spans="1:9" ht="11.25" customHeight="1">
      <c r="A618" s="1776" t="s">
        <v>2248</v>
      </c>
      <c r="B618" s="1776" t="s">
        <v>16</v>
      </c>
      <c r="C618" s="1776" t="s">
        <v>3776</v>
      </c>
      <c r="D618" s="1776" t="s">
        <v>3777</v>
      </c>
      <c r="E618" s="1776" t="s">
        <v>3778</v>
      </c>
      <c r="F618" s="1776" t="s">
        <v>3779</v>
      </c>
      <c r="G618" s="1776" t="s">
        <v>22</v>
      </c>
      <c r="H618" s="1776" t="s">
        <v>22</v>
      </c>
      <c r="I618" s="1776" t="s">
        <v>909</v>
      </c>
    </row>
    <row r="619" spans="1:9" ht="11.25" customHeight="1">
      <c r="A619" s="1776" t="s">
        <v>2248</v>
      </c>
      <c r="B619" s="1776" t="s">
        <v>16</v>
      </c>
      <c r="C619" s="1776" t="s">
        <v>3684</v>
      </c>
      <c r="D619" s="1776" t="s">
        <v>3685</v>
      </c>
      <c r="E619" s="1776" t="s">
        <v>3686</v>
      </c>
      <c r="F619" s="1776" t="s">
        <v>3687</v>
      </c>
      <c r="G619" s="1776" t="s">
        <v>22</v>
      </c>
      <c r="H619" s="1776" t="s">
        <v>22</v>
      </c>
      <c r="I619" s="1776" t="s">
        <v>909</v>
      </c>
    </row>
    <row r="620" spans="1:9" ht="11.25" customHeight="1">
      <c r="A620" s="1776" t="s">
        <v>2248</v>
      </c>
      <c r="B620" s="1776" t="s">
        <v>16</v>
      </c>
      <c r="C620" s="1776" t="s">
        <v>2866</v>
      </c>
      <c r="D620" s="1776" t="s">
        <v>2867</v>
      </c>
      <c r="E620" s="1776" t="s">
        <v>2868</v>
      </c>
      <c r="F620" s="1776" t="s">
        <v>2869</v>
      </c>
      <c r="G620" s="1776" t="s">
        <v>2870</v>
      </c>
      <c r="H620" s="1776" t="s">
        <v>22</v>
      </c>
      <c r="I620" s="1776" t="s">
        <v>909</v>
      </c>
    </row>
    <row r="621" spans="1:9" ht="11.25" customHeight="1">
      <c r="A621" s="1776" t="s">
        <v>2248</v>
      </c>
      <c r="B621" s="1776" t="s">
        <v>16</v>
      </c>
      <c r="C621" s="1776" t="s">
        <v>2883</v>
      </c>
      <c r="D621" s="1776" t="s">
        <v>2884</v>
      </c>
      <c r="E621" s="1776" t="s">
        <v>2885</v>
      </c>
      <c r="F621" s="1776" t="s">
        <v>2886</v>
      </c>
      <c r="G621" s="1776" t="s">
        <v>2887</v>
      </c>
      <c r="H621" s="1776" t="s">
        <v>22</v>
      </c>
      <c r="I621" s="1776" t="s">
        <v>909</v>
      </c>
    </row>
    <row r="622" spans="1:9" ht="11.25" customHeight="1">
      <c r="A622" s="1776" t="s">
        <v>2248</v>
      </c>
      <c r="B622" s="1776" t="s">
        <v>16</v>
      </c>
      <c r="C622" s="1776" t="s">
        <v>2893</v>
      </c>
      <c r="D622" s="1776" t="s">
        <v>2894</v>
      </c>
      <c r="E622" s="1776" t="s">
        <v>2895</v>
      </c>
      <c r="F622" s="1776" t="s">
        <v>2896</v>
      </c>
      <c r="G622" s="1776" t="s">
        <v>22</v>
      </c>
      <c r="H622" s="1776" t="s">
        <v>22</v>
      </c>
      <c r="I622" s="1776" t="s">
        <v>909</v>
      </c>
    </row>
    <row r="623" spans="1:9" ht="11.25" customHeight="1">
      <c r="A623" s="1776" t="s">
        <v>2248</v>
      </c>
      <c r="B623" s="1776" t="s">
        <v>16</v>
      </c>
      <c r="C623" s="1776" t="s">
        <v>2901</v>
      </c>
      <c r="D623" s="1776" t="s">
        <v>2902</v>
      </c>
      <c r="E623" s="1776" t="s">
        <v>2903</v>
      </c>
      <c r="F623" s="1776" t="s">
        <v>2904</v>
      </c>
      <c r="G623" s="1776" t="s">
        <v>2905</v>
      </c>
      <c r="H623" s="1776" t="s">
        <v>22</v>
      </c>
      <c r="I623" s="1776" t="s">
        <v>909</v>
      </c>
    </row>
    <row r="624" spans="1:9" ht="11.25" customHeight="1">
      <c r="A624" s="1776" t="s">
        <v>2248</v>
      </c>
      <c r="B624" s="1776" t="s">
        <v>16</v>
      </c>
      <c r="C624" s="1776" t="s">
        <v>3780</v>
      </c>
      <c r="D624" s="1776" t="s">
        <v>3781</v>
      </c>
      <c r="E624" s="1776" t="s">
        <v>3782</v>
      </c>
      <c r="F624" s="1776" t="s">
        <v>2281</v>
      </c>
      <c r="G624" s="1776" t="s">
        <v>22</v>
      </c>
      <c r="H624" s="1776" t="s">
        <v>22</v>
      </c>
      <c r="I624" s="1776" t="s">
        <v>909</v>
      </c>
    </row>
    <row r="625" spans="1:9" ht="11.25" customHeight="1">
      <c r="A625" s="1776" t="s">
        <v>2248</v>
      </c>
      <c r="B625" s="1776" t="s">
        <v>16</v>
      </c>
      <c r="C625" s="1776" t="s">
        <v>2914</v>
      </c>
      <c r="D625" s="1776" t="s">
        <v>2915</v>
      </c>
      <c r="E625" s="1776" t="s">
        <v>2916</v>
      </c>
      <c r="F625" s="1776" t="s">
        <v>2917</v>
      </c>
      <c r="G625" s="1776" t="s">
        <v>22</v>
      </c>
      <c r="H625" s="1776" t="s">
        <v>22</v>
      </c>
      <c r="I625" s="1776" t="s">
        <v>909</v>
      </c>
    </row>
    <row r="626" spans="1:9" ht="11.25" customHeight="1">
      <c r="A626" s="1776" t="s">
        <v>2248</v>
      </c>
      <c r="B626" s="1776" t="s">
        <v>16</v>
      </c>
      <c r="C626" s="1776" t="s">
        <v>22</v>
      </c>
      <c r="D626" s="1776" t="s">
        <v>2359</v>
      </c>
      <c r="E626" s="1776" t="s">
        <v>2360</v>
      </c>
      <c r="F626" s="1776" t="s">
        <v>2345</v>
      </c>
      <c r="G626" s="1776" t="s">
        <v>22</v>
      </c>
      <c r="H626" s="1776" t="s">
        <v>22</v>
      </c>
      <c r="I626" s="1776" t="s">
        <v>1621</v>
      </c>
    </row>
    <row r="627" spans="1:9" ht="11.25" customHeight="1">
      <c r="A627" s="1776" t="s">
        <v>2248</v>
      </c>
      <c r="B627" s="1776" t="s">
        <v>16</v>
      </c>
      <c r="C627" s="1776" t="s">
        <v>3783</v>
      </c>
      <c r="D627" s="1776" t="s">
        <v>3784</v>
      </c>
      <c r="E627" s="1776" t="s">
        <v>3785</v>
      </c>
      <c r="F627" s="1776" t="s">
        <v>2553</v>
      </c>
      <c r="G627" s="1776" t="s">
        <v>22</v>
      </c>
      <c r="H627" s="1776" t="s">
        <v>22</v>
      </c>
      <c r="I627" s="1776" t="s">
        <v>1621</v>
      </c>
    </row>
    <row r="628" spans="1:9" ht="11.25" customHeight="1">
      <c r="A628" s="1776" t="s">
        <v>2248</v>
      </c>
      <c r="B628" s="1776" t="s">
        <v>16</v>
      </c>
      <c r="C628" s="1776" t="s">
        <v>2404</v>
      </c>
      <c r="D628" s="1776" t="s">
        <v>2405</v>
      </c>
      <c r="E628" s="1776" t="s">
        <v>2406</v>
      </c>
      <c r="F628" s="1776" t="s">
        <v>2407</v>
      </c>
      <c r="G628" s="1776" t="s">
        <v>2408</v>
      </c>
      <c r="H628" s="1776" t="s">
        <v>22</v>
      </c>
      <c r="I628" s="1776" t="s">
        <v>1621</v>
      </c>
    </row>
    <row r="629" spans="1:9" ht="11.25" customHeight="1">
      <c r="A629" s="1776" t="s">
        <v>2248</v>
      </c>
      <c r="B629" s="1776" t="s">
        <v>16</v>
      </c>
      <c r="C629" s="1776" t="s">
        <v>3249</v>
      </c>
      <c r="D629" s="1776" t="s">
        <v>3250</v>
      </c>
      <c r="E629" s="1776" t="s">
        <v>3251</v>
      </c>
      <c r="F629" s="1776" t="s">
        <v>2412</v>
      </c>
      <c r="G629" s="1776" t="s">
        <v>3252</v>
      </c>
      <c r="H629" s="1776" t="s">
        <v>22</v>
      </c>
      <c r="I629" s="1776" t="s">
        <v>1621</v>
      </c>
    </row>
    <row r="630" spans="1:9" ht="11.25" customHeight="1">
      <c r="A630" s="1776" t="s">
        <v>2248</v>
      </c>
      <c r="B630" s="1776" t="s">
        <v>16</v>
      </c>
      <c r="C630" s="1776" t="s">
        <v>2432</v>
      </c>
      <c r="D630" s="1776" t="s">
        <v>2433</v>
      </c>
      <c r="E630" s="1776" t="s">
        <v>2434</v>
      </c>
      <c r="F630" s="1776" t="s">
        <v>2330</v>
      </c>
      <c r="G630" s="1776" t="s">
        <v>2435</v>
      </c>
      <c r="H630" s="1776" t="s">
        <v>22</v>
      </c>
      <c r="I630" s="1776" t="s">
        <v>1621</v>
      </c>
    </row>
    <row r="631" spans="1:9" ht="11.25" customHeight="1">
      <c r="A631" s="1776" t="s">
        <v>2248</v>
      </c>
      <c r="B631" s="1776" t="s">
        <v>16</v>
      </c>
      <c r="C631" s="1776" t="s">
        <v>2459</v>
      </c>
      <c r="D631" s="1776" t="s">
        <v>2460</v>
      </c>
      <c r="E631" s="1776" t="s">
        <v>2461</v>
      </c>
      <c r="F631" s="1776" t="s">
        <v>2350</v>
      </c>
      <c r="G631" s="1776" t="s">
        <v>2462</v>
      </c>
      <c r="H631" s="1776" t="s">
        <v>2391</v>
      </c>
      <c r="I631" s="1776" t="s">
        <v>1621</v>
      </c>
    </row>
    <row r="632" spans="1:9" ht="11.25" customHeight="1">
      <c r="A632" s="1776" t="s">
        <v>2248</v>
      </c>
      <c r="B632" s="1776" t="s">
        <v>16</v>
      </c>
      <c r="C632" s="1776" t="s">
        <v>3786</v>
      </c>
      <c r="D632" s="1776" t="s">
        <v>3787</v>
      </c>
      <c r="E632" s="1776" t="s">
        <v>3788</v>
      </c>
      <c r="F632" s="1776" t="s">
        <v>2596</v>
      </c>
      <c r="G632" s="1776" t="s">
        <v>22</v>
      </c>
      <c r="H632" s="1776" t="s">
        <v>3789</v>
      </c>
      <c r="I632" s="1776" t="s">
        <v>1621</v>
      </c>
    </row>
    <row r="633" spans="1:9" ht="11.25" customHeight="1">
      <c r="A633" s="1776" t="s">
        <v>2248</v>
      </c>
      <c r="B633" s="1776" t="s">
        <v>16</v>
      </c>
      <c r="C633" s="1776" t="s">
        <v>2480</v>
      </c>
      <c r="D633" s="1776" t="s">
        <v>2481</v>
      </c>
      <c r="E633" s="1776" t="s">
        <v>2482</v>
      </c>
      <c r="F633" s="1776" t="s">
        <v>2483</v>
      </c>
      <c r="G633" s="1776" t="s">
        <v>2484</v>
      </c>
      <c r="H633" s="1776" t="s">
        <v>22</v>
      </c>
      <c r="I633" s="1776" t="s">
        <v>1621</v>
      </c>
    </row>
    <row r="634" spans="1:9" ht="11.25" customHeight="1">
      <c r="A634" s="1776" t="s">
        <v>2248</v>
      </c>
      <c r="B634" s="1776" t="s">
        <v>16</v>
      </c>
      <c r="C634" s="1776" t="s">
        <v>2490</v>
      </c>
      <c r="D634" s="1776" t="s">
        <v>2491</v>
      </c>
      <c r="E634" s="1776" t="s">
        <v>2492</v>
      </c>
      <c r="F634" s="1776" t="s">
        <v>2430</v>
      </c>
      <c r="G634" s="1776" t="s">
        <v>2493</v>
      </c>
      <c r="H634" s="1776" t="s">
        <v>22</v>
      </c>
      <c r="I634" s="1776" t="s">
        <v>1621</v>
      </c>
    </row>
    <row r="635" spans="1:9" ht="11.25" customHeight="1">
      <c r="A635" s="1776" t="s">
        <v>2248</v>
      </c>
      <c r="B635" s="1776" t="s">
        <v>16</v>
      </c>
      <c r="C635" s="1776" t="s">
        <v>2503</v>
      </c>
      <c r="D635" s="1776" t="s">
        <v>2504</v>
      </c>
      <c r="E635" s="1776" t="s">
        <v>2505</v>
      </c>
      <c r="F635" s="1776" t="s">
        <v>2506</v>
      </c>
      <c r="G635" s="1776" t="s">
        <v>2507</v>
      </c>
      <c r="H635" s="1776" t="s">
        <v>22</v>
      </c>
      <c r="I635" s="1776" t="s">
        <v>1621</v>
      </c>
    </row>
    <row r="636" spans="1:9" ht="11.25" customHeight="1">
      <c r="A636" s="1776" t="s">
        <v>2248</v>
      </c>
      <c r="B636" s="1776" t="s">
        <v>16</v>
      </c>
      <c r="C636" s="1776" t="s">
        <v>3358</v>
      </c>
      <c r="D636" s="1776" t="s">
        <v>3359</v>
      </c>
      <c r="E636" s="1776" t="s">
        <v>3360</v>
      </c>
      <c r="F636" s="1776" t="s">
        <v>2312</v>
      </c>
      <c r="G636" s="1776" t="s">
        <v>2520</v>
      </c>
      <c r="H636" s="1776" t="s">
        <v>22</v>
      </c>
      <c r="I636" s="1776" t="s">
        <v>1621</v>
      </c>
    </row>
    <row r="637" spans="1:9" ht="11.25" customHeight="1">
      <c r="A637" s="1776" t="s">
        <v>2248</v>
      </c>
      <c r="B637" s="1776" t="s">
        <v>16</v>
      </c>
      <c r="C637" s="1776" t="s">
        <v>2544</v>
      </c>
      <c r="D637" s="1776" t="s">
        <v>2545</v>
      </c>
      <c r="E637" s="1776" t="s">
        <v>2546</v>
      </c>
      <c r="F637" s="1776" t="s">
        <v>2547</v>
      </c>
      <c r="G637" s="1776" t="s">
        <v>2548</v>
      </c>
      <c r="H637" s="1776" t="s">
        <v>2549</v>
      </c>
      <c r="I637" s="1776" t="s">
        <v>1621</v>
      </c>
    </row>
    <row r="638" spans="1:9" ht="11.25" customHeight="1">
      <c r="A638" s="1776" t="s">
        <v>2248</v>
      </c>
      <c r="B638" s="1776" t="s">
        <v>16</v>
      </c>
      <c r="C638" s="1776" t="s">
        <v>2561</v>
      </c>
      <c r="D638" s="1776" t="s">
        <v>2562</v>
      </c>
      <c r="E638" s="1776" t="s">
        <v>2563</v>
      </c>
      <c r="F638" s="1776" t="s">
        <v>2553</v>
      </c>
      <c r="G638" s="1776" t="s">
        <v>2564</v>
      </c>
      <c r="H638" s="1776" t="s">
        <v>22</v>
      </c>
      <c r="I638" s="1776" t="s">
        <v>1621</v>
      </c>
    </row>
    <row r="639" spans="1:9" ht="11.25" customHeight="1">
      <c r="A639" s="1776" t="s">
        <v>2248</v>
      </c>
      <c r="B639" s="1776" t="s">
        <v>16</v>
      </c>
      <c r="C639" s="1776" t="s">
        <v>3495</v>
      </c>
      <c r="D639" s="1776" t="s">
        <v>3496</v>
      </c>
      <c r="E639" s="1776" t="s">
        <v>3497</v>
      </c>
      <c r="F639" s="1776" t="s">
        <v>2321</v>
      </c>
      <c r="G639" s="1776" t="s">
        <v>3498</v>
      </c>
      <c r="H639" s="1776" t="s">
        <v>22</v>
      </c>
      <c r="I639" s="1776" t="s">
        <v>1621</v>
      </c>
    </row>
    <row r="640" spans="1:9" ht="11.25" customHeight="1">
      <c r="A640" s="1776" t="s">
        <v>2248</v>
      </c>
      <c r="B640" s="1776" t="s">
        <v>16</v>
      </c>
      <c r="C640" s="1776" t="s">
        <v>2611</v>
      </c>
      <c r="D640" s="1776" t="s">
        <v>2612</v>
      </c>
      <c r="E640" s="1776" t="s">
        <v>2613</v>
      </c>
      <c r="F640" s="1776" t="s">
        <v>2614</v>
      </c>
      <c r="G640" s="1776" t="s">
        <v>2615</v>
      </c>
      <c r="H640" s="1776" t="s">
        <v>2375</v>
      </c>
      <c r="I640" s="1776" t="s">
        <v>1621</v>
      </c>
    </row>
    <row r="641" spans="1:9" ht="11.25" customHeight="1">
      <c r="A641" s="1776" t="s">
        <v>2248</v>
      </c>
      <c r="B641" s="1776" t="s">
        <v>16</v>
      </c>
      <c r="C641" s="1776" t="s">
        <v>3790</v>
      </c>
      <c r="D641" s="1776" t="s">
        <v>3791</v>
      </c>
      <c r="E641" s="1776" t="s">
        <v>3792</v>
      </c>
      <c r="F641" s="1776" t="s">
        <v>2457</v>
      </c>
      <c r="G641" s="1776" t="s">
        <v>22</v>
      </c>
      <c r="H641" s="1776" t="s">
        <v>22</v>
      </c>
      <c r="I641" s="1776" t="s">
        <v>1621</v>
      </c>
    </row>
    <row r="642" spans="1:9" ht="11.25" customHeight="1">
      <c r="A642" s="1776" t="s">
        <v>2248</v>
      </c>
      <c r="B642" s="1776" t="s">
        <v>16</v>
      </c>
      <c r="C642" s="1776" t="s">
        <v>3793</v>
      </c>
      <c r="D642" s="1776" t="s">
        <v>3794</v>
      </c>
      <c r="E642" s="1776" t="s">
        <v>3795</v>
      </c>
      <c r="F642" s="1776" t="s">
        <v>2553</v>
      </c>
      <c r="G642" s="1776" t="s">
        <v>22</v>
      </c>
      <c r="H642" s="1776" t="s">
        <v>22</v>
      </c>
      <c r="I642" s="1776" t="s">
        <v>1621</v>
      </c>
    </row>
    <row r="643" spans="1:9" ht="11.25" customHeight="1">
      <c r="A643" s="1776" t="s">
        <v>2248</v>
      </c>
      <c r="B643" s="1776" t="s">
        <v>16</v>
      </c>
      <c r="C643" s="1776" t="s">
        <v>3796</v>
      </c>
      <c r="D643" s="1776" t="s">
        <v>3797</v>
      </c>
      <c r="E643" s="1776" t="s">
        <v>3798</v>
      </c>
      <c r="F643" s="1776" t="s">
        <v>2515</v>
      </c>
      <c r="G643" s="1776" t="s">
        <v>22</v>
      </c>
      <c r="H643" s="1776" t="s">
        <v>22</v>
      </c>
      <c r="I643" s="1776" t="s">
        <v>1621</v>
      </c>
    </row>
    <row r="644" spans="1:9" ht="11.25" customHeight="1">
      <c r="A644" s="1776" t="s">
        <v>2248</v>
      </c>
      <c r="B644" s="1776" t="s">
        <v>16</v>
      </c>
      <c r="C644" s="1776" t="s">
        <v>3799</v>
      </c>
      <c r="D644" s="1776" t="s">
        <v>3800</v>
      </c>
      <c r="E644" s="1776" t="s">
        <v>3801</v>
      </c>
      <c r="F644" s="1776" t="s">
        <v>2696</v>
      </c>
      <c r="G644" s="1776" t="s">
        <v>22</v>
      </c>
      <c r="H644" s="1776" t="s">
        <v>3802</v>
      </c>
      <c r="I644" s="1776" t="s">
        <v>1621</v>
      </c>
    </row>
    <row r="645" spans="1:9" ht="11.25" customHeight="1">
      <c r="A645" s="1776" t="s">
        <v>2248</v>
      </c>
      <c r="B645" s="1776" t="s">
        <v>16</v>
      </c>
      <c r="C645" s="1776" t="s">
        <v>3803</v>
      </c>
      <c r="D645" s="1776" t="s">
        <v>3804</v>
      </c>
      <c r="E645" s="1776" t="s">
        <v>3805</v>
      </c>
      <c r="F645" s="1776" t="s">
        <v>2577</v>
      </c>
      <c r="G645" s="1776" t="s">
        <v>22</v>
      </c>
      <c r="H645" s="1776" t="s">
        <v>22</v>
      </c>
      <c r="I645" s="1776" t="s">
        <v>1621</v>
      </c>
    </row>
    <row r="646" spans="1:9" ht="11.25" customHeight="1">
      <c r="A646" s="1776" t="s">
        <v>2248</v>
      </c>
      <c r="B646" s="1776" t="s">
        <v>16</v>
      </c>
      <c r="C646" s="1776" t="s">
        <v>3806</v>
      </c>
      <c r="D646" s="1776" t="s">
        <v>3807</v>
      </c>
      <c r="E646" s="1776" t="s">
        <v>3808</v>
      </c>
      <c r="F646" s="1776" t="s">
        <v>2497</v>
      </c>
      <c r="G646" s="1776" t="s">
        <v>22</v>
      </c>
      <c r="H646" s="1776" t="s">
        <v>3809</v>
      </c>
      <c r="I646" s="1776" t="s">
        <v>1621</v>
      </c>
    </row>
    <row r="647" spans="1:9" ht="11.25" customHeight="1">
      <c r="A647" s="1776" t="s">
        <v>2248</v>
      </c>
      <c r="B647" s="1776" t="s">
        <v>16</v>
      </c>
      <c r="C647" s="1776" t="s">
        <v>3810</v>
      </c>
      <c r="D647" s="1776" t="s">
        <v>3811</v>
      </c>
      <c r="E647" s="1776" t="s">
        <v>3812</v>
      </c>
      <c r="F647" s="1776" t="s">
        <v>2256</v>
      </c>
      <c r="G647" s="1776" t="s">
        <v>3813</v>
      </c>
      <c r="H647" s="1776" t="s">
        <v>22</v>
      </c>
      <c r="I647" s="1776" t="s">
        <v>1621</v>
      </c>
    </row>
    <row r="648" spans="1:9" ht="11.25" customHeight="1">
      <c r="A648" s="1776" t="s">
        <v>2248</v>
      </c>
      <c r="B648" s="1776" t="s">
        <v>16</v>
      </c>
      <c r="C648" s="1776" t="s">
        <v>3615</v>
      </c>
      <c r="D648" s="1776" t="s">
        <v>3616</v>
      </c>
      <c r="E648" s="1776" t="s">
        <v>3617</v>
      </c>
      <c r="F648" s="1776" t="s">
        <v>2643</v>
      </c>
      <c r="G648" s="1776" t="s">
        <v>3618</v>
      </c>
      <c r="H648" s="1776" t="s">
        <v>22</v>
      </c>
      <c r="I648" s="1776" t="s">
        <v>1621</v>
      </c>
    </row>
    <row r="649" spans="1:9" ht="11.25" customHeight="1">
      <c r="A649" s="1776" t="s">
        <v>2248</v>
      </c>
      <c r="B649" s="1776" t="s">
        <v>16</v>
      </c>
      <c r="C649" s="1776" t="s">
        <v>3814</v>
      </c>
      <c r="D649" s="1776" t="s">
        <v>3815</v>
      </c>
      <c r="E649" s="1776" t="s">
        <v>3816</v>
      </c>
      <c r="F649" s="1776" t="s">
        <v>2326</v>
      </c>
      <c r="G649" s="1776" t="s">
        <v>22</v>
      </c>
      <c r="H649" s="1776" t="s">
        <v>22</v>
      </c>
      <c r="I649" s="1776" t="s">
        <v>1621</v>
      </c>
    </row>
    <row r="650" spans="1:9" ht="11.25" customHeight="1">
      <c r="A650" s="1776" t="s">
        <v>2248</v>
      </c>
      <c r="B650" s="1776" t="s">
        <v>16</v>
      </c>
      <c r="C650" s="1776" t="s">
        <v>3817</v>
      </c>
      <c r="D650" s="1776" t="s">
        <v>3818</v>
      </c>
      <c r="E650" s="1776" t="s">
        <v>3819</v>
      </c>
      <c r="F650" s="1776" t="s">
        <v>2256</v>
      </c>
      <c r="G650" s="1776" t="s">
        <v>3820</v>
      </c>
      <c r="H650" s="1776" t="s">
        <v>22</v>
      </c>
      <c r="I650" s="1776" t="s">
        <v>1621</v>
      </c>
    </row>
    <row r="651" spans="1:9" ht="11.25" customHeight="1">
      <c r="A651" s="1776" t="s">
        <v>2248</v>
      </c>
      <c r="B651" s="1776" t="s">
        <v>16</v>
      </c>
      <c r="C651" s="1776" t="s">
        <v>2720</v>
      </c>
      <c r="D651" s="1776" t="s">
        <v>2721</v>
      </c>
      <c r="E651" s="1776" t="s">
        <v>2722</v>
      </c>
      <c r="F651" s="1776" t="s">
        <v>2369</v>
      </c>
      <c r="G651" s="1776" t="s">
        <v>2723</v>
      </c>
      <c r="H651" s="1776" t="s">
        <v>22</v>
      </c>
      <c r="I651" s="1776" t="s">
        <v>1621</v>
      </c>
    </row>
    <row r="652" spans="1:9" ht="11.25" customHeight="1">
      <c r="A652" s="1776" t="s">
        <v>2248</v>
      </c>
      <c r="B652" s="1776" t="s">
        <v>16</v>
      </c>
      <c r="C652" s="1776" t="s">
        <v>3821</v>
      </c>
      <c r="D652" s="1776" t="s">
        <v>3822</v>
      </c>
      <c r="E652" s="1776" t="s">
        <v>3823</v>
      </c>
      <c r="F652" s="1776" t="s">
        <v>2335</v>
      </c>
      <c r="G652" s="1776" t="s">
        <v>22</v>
      </c>
      <c r="H652" s="1776" t="s">
        <v>22</v>
      </c>
      <c r="I652" s="1776" t="s">
        <v>1621</v>
      </c>
    </row>
    <row r="653" spans="1:9" ht="11.25" customHeight="1">
      <c r="A653" s="1776" t="s">
        <v>2248</v>
      </c>
      <c r="B653" s="1776" t="s">
        <v>16</v>
      </c>
      <c r="C653" s="1776" t="s">
        <v>3824</v>
      </c>
      <c r="D653" s="1776" t="s">
        <v>3825</v>
      </c>
      <c r="E653" s="1776" t="s">
        <v>3826</v>
      </c>
      <c r="F653" s="1776" t="s">
        <v>2553</v>
      </c>
      <c r="G653" s="1776" t="s">
        <v>22</v>
      </c>
      <c r="H653" s="1776" t="s">
        <v>22</v>
      </c>
      <c r="I653" s="1776" t="s">
        <v>1621</v>
      </c>
    </row>
    <row r="654" spans="1:9" ht="11.25" customHeight="1">
      <c r="A654" s="1776" t="s">
        <v>2248</v>
      </c>
      <c r="B654" s="1776" t="s">
        <v>16</v>
      </c>
      <c r="C654" s="1776" t="s">
        <v>3827</v>
      </c>
      <c r="D654" s="1776" t="s">
        <v>3828</v>
      </c>
      <c r="E654" s="1776" t="s">
        <v>3829</v>
      </c>
      <c r="F654" s="1776" t="s">
        <v>2478</v>
      </c>
      <c r="G654" s="1776" t="s">
        <v>22</v>
      </c>
      <c r="H654" s="1776" t="s">
        <v>22</v>
      </c>
      <c r="I654" s="1776" t="s">
        <v>1621</v>
      </c>
    </row>
    <row r="655" spans="1:9" ht="11.25" customHeight="1">
      <c r="A655" s="1776" t="s">
        <v>2248</v>
      </c>
      <c r="B655" s="1776" t="s">
        <v>16</v>
      </c>
      <c r="C655" s="1776" t="s">
        <v>3830</v>
      </c>
      <c r="D655" s="1776" t="s">
        <v>3831</v>
      </c>
      <c r="E655" s="1776" t="s">
        <v>3832</v>
      </c>
      <c r="F655" s="1776" t="s">
        <v>2345</v>
      </c>
      <c r="G655" s="1776" t="s">
        <v>22</v>
      </c>
      <c r="H655" s="1776" t="s">
        <v>22</v>
      </c>
      <c r="I655" s="1776" t="s">
        <v>1621</v>
      </c>
    </row>
    <row r="656" spans="1:9" ht="11.25" customHeight="1">
      <c r="A656" s="1776" t="s">
        <v>2248</v>
      </c>
      <c r="B656" s="1776" t="s">
        <v>16</v>
      </c>
      <c r="C656" s="1776" t="s">
        <v>3833</v>
      </c>
      <c r="D656" s="1776" t="s">
        <v>3834</v>
      </c>
      <c r="E656" s="1776" t="s">
        <v>3835</v>
      </c>
      <c r="F656" s="1776" t="s">
        <v>3836</v>
      </c>
      <c r="G656" s="1776" t="s">
        <v>22</v>
      </c>
      <c r="H656" s="1776" t="s">
        <v>22</v>
      </c>
      <c r="I656" s="1776" t="s">
        <v>1621</v>
      </c>
    </row>
    <row r="657" spans="1:9" ht="11.25" customHeight="1">
      <c r="A657" s="1776" t="s">
        <v>2248</v>
      </c>
      <c r="B657" s="1776" t="s">
        <v>16</v>
      </c>
      <c r="C657" s="1776" t="s">
        <v>3837</v>
      </c>
      <c r="D657" s="1776" t="s">
        <v>3838</v>
      </c>
      <c r="E657" s="1776" t="s">
        <v>3839</v>
      </c>
      <c r="F657" s="1776" t="s">
        <v>2345</v>
      </c>
      <c r="G657" s="1776" t="s">
        <v>22</v>
      </c>
      <c r="H657" s="1776" t="s">
        <v>22</v>
      </c>
      <c r="I657" s="1776" t="s">
        <v>1621</v>
      </c>
    </row>
    <row r="658" spans="1:9" ht="11.25" customHeight="1">
      <c r="A658" s="1776" t="s">
        <v>2248</v>
      </c>
      <c r="B658" s="1776" t="s">
        <v>16</v>
      </c>
      <c r="C658" s="1776" t="s">
        <v>3840</v>
      </c>
      <c r="D658" s="1776" t="s">
        <v>3841</v>
      </c>
      <c r="E658" s="1776" t="s">
        <v>3842</v>
      </c>
      <c r="F658" s="1776" t="s">
        <v>2653</v>
      </c>
      <c r="G658" s="1776" t="s">
        <v>3843</v>
      </c>
      <c r="H658" s="1776" t="s">
        <v>22</v>
      </c>
      <c r="I658" s="1776" t="s">
        <v>1621</v>
      </c>
    </row>
    <row r="659" spans="1:9" ht="11.25" customHeight="1">
      <c r="A659" s="1776" t="s">
        <v>2248</v>
      </c>
      <c r="B659" s="1776" t="s">
        <v>16</v>
      </c>
      <c r="C659" s="1776" t="s">
        <v>3844</v>
      </c>
      <c r="D659" s="1776" t="s">
        <v>3845</v>
      </c>
      <c r="E659" s="1776" t="s">
        <v>3846</v>
      </c>
      <c r="F659" s="1776" t="s">
        <v>2256</v>
      </c>
      <c r="G659" s="1776" t="s">
        <v>3847</v>
      </c>
      <c r="H659" s="1776" t="s">
        <v>22</v>
      </c>
      <c r="I659" s="1776" t="s">
        <v>1621</v>
      </c>
    </row>
    <row r="660" spans="1:9" ht="11.25" customHeight="1">
      <c r="A660" s="1776" t="s">
        <v>2248</v>
      </c>
      <c r="B660" s="1776" t="s">
        <v>16</v>
      </c>
      <c r="C660" s="1776" t="s">
        <v>3848</v>
      </c>
      <c r="D660" s="1776" t="s">
        <v>3849</v>
      </c>
      <c r="E660" s="1776" t="s">
        <v>3850</v>
      </c>
      <c r="F660" s="1776" t="s">
        <v>3851</v>
      </c>
      <c r="G660" s="1776" t="s">
        <v>22</v>
      </c>
      <c r="H660" s="1776" t="s">
        <v>22</v>
      </c>
      <c r="I660" s="1776" t="s">
        <v>1621</v>
      </c>
    </row>
    <row r="661" spans="1:9" ht="11.25" customHeight="1">
      <c r="A661" s="1776" t="s">
        <v>2248</v>
      </c>
      <c r="B661" s="1776" t="s">
        <v>16</v>
      </c>
      <c r="C661" s="1776" t="s">
        <v>3852</v>
      </c>
      <c r="D661" s="1776" t="s">
        <v>3853</v>
      </c>
      <c r="E661" s="1776" t="s">
        <v>3854</v>
      </c>
      <c r="F661" s="1776" t="s">
        <v>2619</v>
      </c>
      <c r="G661" s="1776" t="s">
        <v>3855</v>
      </c>
      <c r="H661" s="1776" t="s">
        <v>22</v>
      </c>
      <c r="I661" s="1776" t="s">
        <v>1621</v>
      </c>
    </row>
    <row r="662" spans="1:9" ht="11.25" customHeight="1">
      <c r="A662" s="1776" t="s">
        <v>2248</v>
      </c>
      <c r="B662" s="1776" t="s">
        <v>16</v>
      </c>
      <c r="C662" s="1776" t="s">
        <v>3856</v>
      </c>
      <c r="D662" s="1776" t="s">
        <v>3857</v>
      </c>
      <c r="E662" s="1776" t="s">
        <v>3858</v>
      </c>
      <c r="F662" s="1776" t="s">
        <v>2256</v>
      </c>
      <c r="G662" s="1776" t="s">
        <v>3859</v>
      </c>
      <c r="H662" s="1776" t="s">
        <v>22</v>
      </c>
      <c r="I662" s="1776" t="s">
        <v>1621</v>
      </c>
    </row>
    <row r="663" spans="1:9" ht="11.25" customHeight="1">
      <c r="A663" s="1776" t="s">
        <v>2248</v>
      </c>
      <c r="B663" s="1776" t="s">
        <v>16</v>
      </c>
      <c r="C663" s="1776" t="s">
        <v>3860</v>
      </c>
      <c r="D663" s="1776" t="s">
        <v>3861</v>
      </c>
      <c r="E663" s="1776" t="s">
        <v>3862</v>
      </c>
      <c r="F663" s="1776" t="s">
        <v>3863</v>
      </c>
      <c r="G663" s="1776" t="s">
        <v>22</v>
      </c>
      <c r="H663" s="1776" t="s">
        <v>22</v>
      </c>
      <c r="I663" s="1776" t="s">
        <v>1621</v>
      </c>
    </row>
    <row r="664" spans="1:9" ht="11.25" customHeight="1">
      <c r="A664" s="1776" t="s">
        <v>2248</v>
      </c>
      <c r="B664" s="1776" t="s">
        <v>16</v>
      </c>
      <c r="C664" s="1776" t="s">
        <v>3864</v>
      </c>
      <c r="D664" s="1776" t="s">
        <v>3865</v>
      </c>
      <c r="E664" s="1776" t="s">
        <v>3866</v>
      </c>
      <c r="F664" s="1776" t="s">
        <v>2478</v>
      </c>
      <c r="G664" s="1776" t="s">
        <v>22</v>
      </c>
      <c r="H664" s="1776" t="s">
        <v>22</v>
      </c>
      <c r="I664" s="1776" t="s">
        <v>1621</v>
      </c>
    </row>
    <row r="665" spans="1:9" ht="11.25" customHeight="1">
      <c r="A665" s="1776" t="s">
        <v>2248</v>
      </c>
      <c r="B665" s="1776" t="s">
        <v>16</v>
      </c>
      <c r="C665" s="1776" t="s">
        <v>3867</v>
      </c>
      <c r="D665" s="1776" t="s">
        <v>3868</v>
      </c>
      <c r="E665" s="1776" t="s">
        <v>3869</v>
      </c>
      <c r="F665" s="1776" t="s">
        <v>3870</v>
      </c>
      <c r="G665" s="1776" t="s">
        <v>22</v>
      </c>
      <c r="H665" s="1776" t="s">
        <v>3871</v>
      </c>
      <c r="I665" s="1776" t="s">
        <v>1621</v>
      </c>
    </row>
    <row r="666" spans="1:9" ht="11.25" customHeight="1">
      <c r="A666" s="1776" t="s">
        <v>2248</v>
      </c>
      <c r="B666" s="1776" t="s">
        <v>16</v>
      </c>
      <c r="C666" s="1776" t="s">
        <v>3872</v>
      </c>
      <c r="D666" s="1776" t="s">
        <v>3873</v>
      </c>
      <c r="E666" s="1776" t="s">
        <v>3819</v>
      </c>
      <c r="F666" s="1776" t="s">
        <v>3874</v>
      </c>
      <c r="G666" s="1776" t="s">
        <v>22</v>
      </c>
      <c r="H666" s="1776" t="s">
        <v>22</v>
      </c>
      <c r="I666" s="1776" t="s">
        <v>1621</v>
      </c>
    </row>
    <row r="667" spans="1:9" ht="11.25" customHeight="1">
      <c r="A667" s="1776" t="s">
        <v>2248</v>
      </c>
      <c r="B667" s="1776" t="s">
        <v>16</v>
      </c>
      <c r="C667" s="1776" t="s">
        <v>3875</v>
      </c>
      <c r="D667" s="1776" t="s">
        <v>3876</v>
      </c>
      <c r="E667" s="1776" t="s">
        <v>3877</v>
      </c>
      <c r="F667" s="1776" t="s">
        <v>2335</v>
      </c>
      <c r="G667" s="1776" t="s">
        <v>22</v>
      </c>
      <c r="H667" s="1776" t="s">
        <v>22</v>
      </c>
      <c r="I667" s="1776" t="s">
        <v>1621</v>
      </c>
    </row>
    <row r="668" spans="1:9" ht="11.25" customHeight="1">
      <c r="A668" s="1776" t="s">
        <v>2248</v>
      </c>
      <c r="B668" s="1776" t="s">
        <v>16</v>
      </c>
      <c r="C668" s="1776" t="s">
        <v>3878</v>
      </c>
      <c r="D668" s="1776" t="s">
        <v>3879</v>
      </c>
      <c r="E668" s="1776" t="s">
        <v>3880</v>
      </c>
      <c r="F668" s="1776" t="s">
        <v>2256</v>
      </c>
      <c r="G668" s="1776" t="s">
        <v>22</v>
      </c>
      <c r="H668" s="1776" t="s">
        <v>22</v>
      </c>
      <c r="I668" s="1776" t="s">
        <v>1621</v>
      </c>
    </row>
    <row r="669" spans="1:9" ht="11.25" customHeight="1">
      <c r="A669" s="1776" t="s">
        <v>2248</v>
      </c>
      <c r="B669" s="1776" t="s">
        <v>16</v>
      </c>
      <c r="C669" s="1776" t="s">
        <v>3881</v>
      </c>
      <c r="D669" s="1776" t="s">
        <v>3882</v>
      </c>
      <c r="E669" s="1776" t="s">
        <v>3883</v>
      </c>
      <c r="F669" s="1776" t="s">
        <v>3884</v>
      </c>
      <c r="G669" s="1776" t="s">
        <v>22</v>
      </c>
      <c r="H669" s="1776" t="s">
        <v>22</v>
      </c>
      <c r="I669" s="1776" t="s">
        <v>1621</v>
      </c>
    </row>
    <row r="670" spans="1:9" ht="11.25" customHeight="1">
      <c r="A670" s="1776" t="s">
        <v>2248</v>
      </c>
      <c r="B670" s="1776" t="s">
        <v>16</v>
      </c>
      <c r="C670" s="1776" t="s">
        <v>3885</v>
      </c>
      <c r="D670" s="1776" t="s">
        <v>3886</v>
      </c>
      <c r="E670" s="1776" t="s">
        <v>3887</v>
      </c>
      <c r="F670" s="1776" t="s">
        <v>2364</v>
      </c>
      <c r="G670" s="1776" t="s">
        <v>22</v>
      </c>
      <c r="H670" s="1776" t="s">
        <v>3888</v>
      </c>
      <c r="I670" s="1776" t="s">
        <v>1621</v>
      </c>
    </row>
    <row r="671" spans="1:9" ht="11.25" customHeight="1">
      <c r="A671" s="1776" t="s">
        <v>2248</v>
      </c>
      <c r="B671" s="1776" t="s">
        <v>16</v>
      </c>
      <c r="C671" s="1776" t="s">
        <v>3889</v>
      </c>
      <c r="D671" s="1776" t="s">
        <v>3890</v>
      </c>
      <c r="E671" s="1776" t="s">
        <v>3891</v>
      </c>
      <c r="F671" s="1776" t="s">
        <v>2553</v>
      </c>
      <c r="G671" s="1776" t="s">
        <v>22</v>
      </c>
      <c r="H671" s="1776" t="s">
        <v>22</v>
      </c>
      <c r="I671" s="1776" t="s">
        <v>1621</v>
      </c>
    </row>
    <row r="672" spans="1:9" ht="11.25" customHeight="1">
      <c r="A672" s="1776" t="s">
        <v>2248</v>
      </c>
      <c r="B672" s="1776" t="s">
        <v>16</v>
      </c>
      <c r="C672" s="1776" t="s">
        <v>3892</v>
      </c>
      <c r="D672" s="1776" t="s">
        <v>3893</v>
      </c>
      <c r="E672" s="1776" t="s">
        <v>3894</v>
      </c>
      <c r="F672" s="1776" t="s">
        <v>2653</v>
      </c>
      <c r="G672" s="1776" t="s">
        <v>22</v>
      </c>
      <c r="H672" s="1776" t="s">
        <v>3895</v>
      </c>
      <c r="I672" s="1776" t="s">
        <v>1621</v>
      </c>
    </row>
    <row r="673" spans="1:9" ht="11.25" customHeight="1">
      <c r="A673" s="1776" t="s">
        <v>2248</v>
      </c>
      <c r="B673" s="1776" t="s">
        <v>16</v>
      </c>
      <c r="C673" s="1776" t="s">
        <v>3896</v>
      </c>
      <c r="D673" s="1776" t="s">
        <v>3897</v>
      </c>
      <c r="E673" s="1776" t="s">
        <v>3898</v>
      </c>
      <c r="F673" s="1776" t="s">
        <v>2374</v>
      </c>
      <c r="G673" s="1776" t="s">
        <v>22</v>
      </c>
      <c r="H673" s="1776" t="s">
        <v>3386</v>
      </c>
      <c r="I673" s="1776" t="s">
        <v>1621</v>
      </c>
    </row>
    <row r="674" spans="1:9" ht="11.25" customHeight="1">
      <c r="A674" s="1776" t="s">
        <v>2248</v>
      </c>
      <c r="B674" s="1776" t="s">
        <v>16</v>
      </c>
      <c r="C674" s="1776" t="s">
        <v>3899</v>
      </c>
      <c r="D674" s="1776" t="s">
        <v>3900</v>
      </c>
      <c r="E674" s="1776" t="s">
        <v>3901</v>
      </c>
      <c r="F674" s="1776" t="s">
        <v>2653</v>
      </c>
      <c r="G674" s="1776" t="s">
        <v>22</v>
      </c>
      <c r="H674" s="1776" t="s">
        <v>22</v>
      </c>
      <c r="I674" s="1776" t="s">
        <v>1621</v>
      </c>
    </row>
    <row r="675" spans="1:9" ht="11.25" customHeight="1">
      <c r="A675" s="1776" t="s">
        <v>2248</v>
      </c>
      <c r="B675" s="1776" t="s">
        <v>16</v>
      </c>
      <c r="C675" s="1776" t="s">
        <v>3902</v>
      </c>
      <c r="D675" s="1776" t="s">
        <v>3903</v>
      </c>
      <c r="E675" s="1776" t="s">
        <v>3904</v>
      </c>
      <c r="F675" s="1776" t="s">
        <v>3337</v>
      </c>
      <c r="G675" s="1776" t="s">
        <v>22</v>
      </c>
      <c r="H675" s="1776" t="s">
        <v>22</v>
      </c>
      <c r="I675" s="1776" t="s">
        <v>1621</v>
      </c>
    </row>
    <row r="676" spans="1:9" ht="11.25" customHeight="1">
      <c r="A676" s="1776" t="s">
        <v>2248</v>
      </c>
      <c r="B676" s="1776" t="s">
        <v>16</v>
      </c>
      <c r="C676" s="1776" t="s">
        <v>2883</v>
      </c>
      <c r="D676" s="1776" t="s">
        <v>2884</v>
      </c>
      <c r="E676" s="1776" t="s">
        <v>2885</v>
      </c>
      <c r="F676" s="1776" t="s">
        <v>2886</v>
      </c>
      <c r="G676" s="1776" t="s">
        <v>2887</v>
      </c>
      <c r="H676" s="1776" t="s">
        <v>22</v>
      </c>
      <c r="I676" s="1776"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6"/>
  </cols>
  <sheetData>
    <row r="1" spans="1:7" ht="11.25" customHeight="1">
      <c r="A1" s="310" t="s">
        <v>3905</v>
      </c>
      <c r="B1" s="3" t="s">
        <v>3906</v>
      </c>
      <c r="C1" s="3" t="s">
        <v>3907</v>
      </c>
      <c r="D1" s="3" t="s">
        <v>3908</v>
      </c>
      <c r="E1" t="s">
        <v>3909</v>
      </c>
      <c r="F1" t="s">
        <v>3910</v>
      </c>
      <c r="G1" t="s">
        <v>3911</v>
      </c>
    </row>
    <row r="2" spans="1:7" ht="11.25" customHeight="1">
      <c r="A2" s="310" t="s">
        <v>16</v>
      </c>
      <c r="B2" t="s">
        <v>3912</v>
      </c>
      <c r="C2" t="s">
        <v>3913</v>
      </c>
      <c r="D2" t="s">
        <v>3912</v>
      </c>
      <c r="E2" t="s">
        <v>3913</v>
      </c>
      <c r="F2" t="s">
        <v>3914</v>
      </c>
      <c r="G2" t="s">
        <v>108</v>
      </c>
    </row>
    <row r="3" spans="1:7" ht="11.25" customHeight="1">
      <c r="A3" s="310" t="s">
        <v>16</v>
      </c>
      <c r="B3" t="s">
        <v>3912</v>
      </c>
      <c r="C3" t="s">
        <v>3913</v>
      </c>
      <c r="D3" t="s">
        <v>3915</v>
      </c>
      <c r="E3" t="s">
        <v>3916</v>
      </c>
      <c r="F3" t="s">
        <v>3917</v>
      </c>
      <c r="G3" t="s">
        <v>109</v>
      </c>
    </row>
    <row r="4" spans="1:7" ht="11.25" customHeight="1">
      <c r="A4" s="310" t="s">
        <v>16</v>
      </c>
      <c r="B4" t="s">
        <v>3912</v>
      </c>
      <c r="C4" t="s">
        <v>3913</v>
      </c>
      <c r="D4" t="s">
        <v>3918</v>
      </c>
      <c r="E4" t="s">
        <v>3919</v>
      </c>
      <c r="F4" t="s">
        <v>3917</v>
      </c>
      <c r="G4" t="s">
        <v>89</v>
      </c>
    </row>
    <row r="5" spans="1:7" ht="11.25" customHeight="1">
      <c r="A5" s="310" t="s">
        <v>16</v>
      </c>
      <c r="B5" t="s">
        <v>3912</v>
      </c>
      <c r="C5" t="s">
        <v>3913</v>
      </c>
      <c r="D5" t="s">
        <v>3920</v>
      </c>
      <c r="E5" t="s">
        <v>3921</v>
      </c>
      <c r="F5" t="s">
        <v>3917</v>
      </c>
      <c r="G5" t="s">
        <v>90</v>
      </c>
    </row>
    <row r="6" spans="1:7" ht="11.25" customHeight="1">
      <c r="A6" s="310" t="s">
        <v>16</v>
      </c>
      <c r="B6" t="s">
        <v>3912</v>
      </c>
      <c r="C6" t="s">
        <v>3913</v>
      </c>
      <c r="D6" t="s">
        <v>3922</v>
      </c>
      <c r="E6" t="s">
        <v>3923</v>
      </c>
      <c r="F6" t="s">
        <v>3917</v>
      </c>
      <c r="G6" t="s">
        <v>110</v>
      </c>
    </row>
    <row r="7" spans="1:7" ht="11.25" customHeight="1">
      <c r="A7" s="310" t="s">
        <v>16</v>
      </c>
      <c r="B7" t="s">
        <v>3912</v>
      </c>
      <c r="C7" t="s">
        <v>3913</v>
      </c>
      <c r="D7" t="s">
        <v>3924</v>
      </c>
      <c r="E7" t="s">
        <v>3925</v>
      </c>
      <c r="F7" t="s">
        <v>3917</v>
      </c>
      <c r="G7" t="s">
        <v>91</v>
      </c>
    </row>
    <row r="8" spans="1:7" ht="11.25" customHeight="1">
      <c r="A8" s="310" t="s">
        <v>16</v>
      </c>
      <c r="B8" t="s">
        <v>3912</v>
      </c>
      <c r="C8" t="s">
        <v>3913</v>
      </c>
      <c r="D8" t="s">
        <v>3926</v>
      </c>
      <c r="E8" t="s">
        <v>3927</v>
      </c>
      <c r="F8" t="s">
        <v>3917</v>
      </c>
      <c r="G8" t="s">
        <v>92</v>
      </c>
    </row>
    <row r="9" spans="1:7" ht="11.25" customHeight="1">
      <c r="A9" s="310" t="s">
        <v>16</v>
      </c>
      <c r="B9" t="s">
        <v>3912</v>
      </c>
      <c r="C9" t="s">
        <v>3913</v>
      </c>
      <c r="D9" t="s">
        <v>3928</v>
      </c>
      <c r="E9" t="s">
        <v>3929</v>
      </c>
      <c r="F9" t="s">
        <v>3917</v>
      </c>
      <c r="G9" t="s">
        <v>111</v>
      </c>
    </row>
    <row r="10" spans="1:7" ht="11.25" customHeight="1">
      <c r="A10" s="310" t="s">
        <v>16</v>
      </c>
      <c r="B10" t="s">
        <v>3912</v>
      </c>
      <c r="C10" t="s">
        <v>3913</v>
      </c>
      <c r="D10" t="s">
        <v>3930</v>
      </c>
      <c r="E10" t="s">
        <v>3931</v>
      </c>
      <c r="F10" t="s">
        <v>3917</v>
      </c>
      <c r="G10" t="s">
        <v>152</v>
      </c>
    </row>
    <row r="11" spans="1:7" ht="11.25" customHeight="1">
      <c r="A11" s="310" t="s">
        <v>16</v>
      </c>
      <c r="B11" t="s">
        <v>3912</v>
      </c>
      <c r="C11" t="s">
        <v>3913</v>
      </c>
      <c r="D11" t="s">
        <v>3932</v>
      </c>
      <c r="E11" t="s">
        <v>3933</v>
      </c>
      <c r="F11" t="s">
        <v>3917</v>
      </c>
      <c r="G11" t="s">
        <v>153</v>
      </c>
    </row>
    <row r="12" spans="1:7" ht="11.25" customHeight="1">
      <c r="A12" s="310" t="s">
        <v>16</v>
      </c>
      <c r="B12" t="s">
        <v>3912</v>
      </c>
      <c r="C12" t="s">
        <v>3913</v>
      </c>
      <c r="D12" t="s">
        <v>3934</v>
      </c>
      <c r="E12" t="s">
        <v>3935</v>
      </c>
      <c r="F12" t="s">
        <v>3917</v>
      </c>
      <c r="G12" t="s">
        <v>154</v>
      </c>
    </row>
    <row r="13" spans="1:7" ht="11.25" customHeight="1">
      <c r="A13" s="310" t="s">
        <v>16</v>
      </c>
      <c r="B13" t="s">
        <v>3912</v>
      </c>
      <c r="C13" t="s">
        <v>3913</v>
      </c>
      <c r="D13" t="s">
        <v>3936</v>
      </c>
      <c r="E13" t="s">
        <v>3937</v>
      </c>
      <c r="F13" t="s">
        <v>3917</v>
      </c>
      <c r="G13" t="s">
        <v>155</v>
      </c>
    </row>
    <row r="14" spans="1:7" ht="11.25" customHeight="1">
      <c r="A14" s="310" t="s">
        <v>16</v>
      </c>
      <c r="B14" t="s">
        <v>3912</v>
      </c>
      <c r="C14" t="s">
        <v>3913</v>
      </c>
      <c r="D14" t="s">
        <v>3938</v>
      </c>
      <c r="E14" t="s">
        <v>3939</v>
      </c>
      <c r="F14" t="s">
        <v>3917</v>
      </c>
      <c r="G14" t="s">
        <v>156</v>
      </c>
    </row>
    <row r="15" spans="1:7" ht="11.25" customHeight="1">
      <c r="A15" s="310" t="s">
        <v>16</v>
      </c>
      <c r="B15" t="s">
        <v>3912</v>
      </c>
      <c r="C15" t="s">
        <v>3913</v>
      </c>
      <c r="D15" t="s">
        <v>3940</v>
      </c>
      <c r="E15" t="s">
        <v>3941</v>
      </c>
      <c r="F15" t="s">
        <v>3917</v>
      </c>
      <c r="G15" t="s">
        <v>157</v>
      </c>
    </row>
    <row r="16" spans="1:7" ht="11.25" customHeight="1">
      <c r="A16" s="310" t="s">
        <v>16</v>
      </c>
      <c r="B16" t="s">
        <v>3912</v>
      </c>
      <c r="C16" t="s">
        <v>3913</v>
      </c>
      <c r="D16" t="s">
        <v>3942</v>
      </c>
      <c r="E16" t="s">
        <v>3943</v>
      </c>
      <c r="F16" t="s">
        <v>3917</v>
      </c>
      <c r="G16" t="s">
        <v>1464</v>
      </c>
    </row>
    <row r="17" spans="1:7" ht="11.25" customHeight="1">
      <c r="A17" s="310" t="s">
        <v>16</v>
      </c>
      <c r="B17" t="s">
        <v>3912</v>
      </c>
      <c r="C17" t="s">
        <v>3913</v>
      </c>
      <c r="D17" t="s">
        <v>3944</v>
      </c>
      <c r="E17" t="s">
        <v>3945</v>
      </c>
      <c r="F17" t="s">
        <v>3917</v>
      </c>
      <c r="G17" t="s">
        <v>1470</v>
      </c>
    </row>
    <row r="18" spans="1:7" ht="11.25" customHeight="1">
      <c r="A18" s="310" t="s">
        <v>16</v>
      </c>
      <c r="B18" t="s">
        <v>3946</v>
      </c>
      <c r="C18" t="s">
        <v>3947</v>
      </c>
      <c r="D18" t="s">
        <v>3948</v>
      </c>
      <c r="E18" t="s">
        <v>3949</v>
      </c>
      <c r="F18" t="s">
        <v>3917</v>
      </c>
      <c r="G18" t="s">
        <v>1482</v>
      </c>
    </row>
    <row r="19" spans="1:7" ht="11.25" customHeight="1">
      <c r="A19" s="310" t="s">
        <v>16</v>
      </c>
      <c r="B19" t="s">
        <v>3946</v>
      </c>
      <c r="C19" t="s">
        <v>3947</v>
      </c>
      <c r="D19" t="s">
        <v>3946</v>
      </c>
      <c r="E19" t="s">
        <v>3947</v>
      </c>
      <c r="F19" t="s">
        <v>3914</v>
      </c>
      <c r="G19" t="s">
        <v>1496</v>
      </c>
    </row>
    <row r="20" spans="1:7" ht="11.25" customHeight="1">
      <c r="A20" s="310" t="s">
        <v>16</v>
      </c>
      <c r="B20" t="s">
        <v>3946</v>
      </c>
      <c r="C20" t="s">
        <v>3947</v>
      </c>
      <c r="D20" t="s">
        <v>3950</v>
      </c>
      <c r="E20" t="s">
        <v>3951</v>
      </c>
      <c r="F20" t="s">
        <v>3952</v>
      </c>
      <c r="G20" t="s">
        <v>1508</v>
      </c>
    </row>
    <row r="21" spans="1:7" ht="11.25" customHeight="1">
      <c r="A21" s="310" t="s">
        <v>16</v>
      </c>
      <c r="B21" t="s">
        <v>3946</v>
      </c>
      <c r="C21" t="s">
        <v>3947</v>
      </c>
      <c r="D21" t="s">
        <v>3953</v>
      </c>
      <c r="E21" t="s">
        <v>3954</v>
      </c>
      <c r="F21" t="s">
        <v>3917</v>
      </c>
      <c r="G21" t="s">
        <v>1517</v>
      </c>
    </row>
    <row r="22" spans="1:7" ht="11.25" customHeight="1">
      <c r="A22" s="310" t="s">
        <v>16</v>
      </c>
      <c r="B22" t="s">
        <v>3946</v>
      </c>
      <c r="C22" t="s">
        <v>3947</v>
      </c>
      <c r="D22" t="s">
        <v>3955</v>
      </c>
      <c r="E22" t="s">
        <v>3956</v>
      </c>
      <c r="F22" t="s">
        <v>3917</v>
      </c>
      <c r="G22" t="s">
        <v>1533</v>
      </c>
    </row>
    <row r="23" spans="1:7" ht="11.25" customHeight="1">
      <c r="A23" s="310" t="s">
        <v>16</v>
      </c>
      <c r="B23" t="s">
        <v>3946</v>
      </c>
      <c r="C23" t="s">
        <v>3947</v>
      </c>
      <c r="D23" t="s">
        <v>3957</v>
      </c>
      <c r="E23" t="s">
        <v>3958</v>
      </c>
      <c r="F23" t="s">
        <v>3917</v>
      </c>
      <c r="G23" t="s">
        <v>1540</v>
      </c>
    </row>
    <row r="24" spans="1:7" ht="11.25" customHeight="1">
      <c r="A24" s="310" t="s">
        <v>16</v>
      </c>
      <c r="B24" t="s">
        <v>3946</v>
      </c>
      <c r="C24" t="s">
        <v>3947</v>
      </c>
      <c r="D24" t="s">
        <v>3959</v>
      </c>
      <c r="E24" t="s">
        <v>3960</v>
      </c>
      <c r="F24" t="s">
        <v>3917</v>
      </c>
      <c r="G24" t="s">
        <v>1548</v>
      </c>
    </row>
    <row r="25" spans="1:7" ht="11.25" customHeight="1">
      <c r="A25" s="310" t="s">
        <v>16</v>
      </c>
      <c r="B25" t="s">
        <v>3946</v>
      </c>
      <c r="C25" t="s">
        <v>3947</v>
      </c>
      <c r="D25" t="s">
        <v>3961</v>
      </c>
      <c r="E25" t="s">
        <v>3962</v>
      </c>
      <c r="F25" t="s">
        <v>3917</v>
      </c>
      <c r="G25" t="s">
        <v>1555</v>
      </c>
    </row>
    <row r="26" spans="1:7" ht="11.25" customHeight="1">
      <c r="A26" s="310" t="s">
        <v>16</v>
      </c>
      <c r="B26" t="s">
        <v>3946</v>
      </c>
      <c r="C26" t="s">
        <v>3947</v>
      </c>
      <c r="D26" t="s">
        <v>3963</v>
      </c>
      <c r="E26" t="s">
        <v>3964</v>
      </c>
      <c r="F26" t="s">
        <v>3917</v>
      </c>
      <c r="G26" t="s">
        <v>1559</v>
      </c>
    </row>
    <row r="27" spans="1:7" ht="11.25" customHeight="1">
      <c r="A27" s="310" t="s">
        <v>16</v>
      </c>
      <c r="B27" t="s">
        <v>3946</v>
      </c>
      <c r="C27" t="s">
        <v>3947</v>
      </c>
      <c r="D27" t="s">
        <v>3965</v>
      </c>
      <c r="E27" t="s">
        <v>3966</v>
      </c>
      <c r="F27" t="s">
        <v>3917</v>
      </c>
      <c r="G27" t="s">
        <v>1564</v>
      </c>
    </row>
    <row r="28" spans="1:7" ht="11.25" customHeight="1">
      <c r="A28" s="310" t="s">
        <v>16</v>
      </c>
      <c r="B28" t="s">
        <v>3946</v>
      </c>
      <c r="C28" t="s">
        <v>3947</v>
      </c>
      <c r="D28" t="s">
        <v>3967</v>
      </c>
      <c r="E28" t="s">
        <v>3968</v>
      </c>
      <c r="F28" t="s">
        <v>3917</v>
      </c>
      <c r="G28" t="s">
        <v>1572</v>
      </c>
    </row>
    <row r="29" spans="1:7" ht="11.25" customHeight="1">
      <c r="A29" s="310" t="s">
        <v>16</v>
      </c>
      <c r="B29" t="s">
        <v>3946</v>
      </c>
      <c r="C29" t="s">
        <v>3947</v>
      </c>
      <c r="D29" t="s">
        <v>3969</v>
      </c>
      <c r="E29" t="s">
        <v>3970</v>
      </c>
      <c r="F29" t="s">
        <v>3917</v>
      </c>
      <c r="G29" t="s">
        <v>1574</v>
      </c>
    </row>
    <row r="30" spans="1:7" ht="11.25" customHeight="1">
      <c r="A30" s="310" t="s">
        <v>16</v>
      </c>
      <c r="B30" t="s">
        <v>3946</v>
      </c>
      <c r="C30" t="s">
        <v>3947</v>
      </c>
      <c r="D30" t="s">
        <v>3971</v>
      </c>
      <c r="E30" t="s">
        <v>3972</v>
      </c>
      <c r="F30" t="s">
        <v>3917</v>
      </c>
      <c r="G30" t="s">
        <v>1577</v>
      </c>
    </row>
    <row r="31" spans="1:7" ht="11.25" customHeight="1">
      <c r="A31" s="310" t="s">
        <v>16</v>
      </c>
      <c r="B31" t="s">
        <v>3946</v>
      </c>
      <c r="C31" t="s">
        <v>3947</v>
      </c>
      <c r="D31" t="s">
        <v>3973</v>
      </c>
      <c r="E31" t="s">
        <v>3974</v>
      </c>
      <c r="F31" t="s">
        <v>3917</v>
      </c>
      <c r="G31" t="s">
        <v>1583</v>
      </c>
    </row>
    <row r="32" spans="1:7" ht="11.25" customHeight="1">
      <c r="A32" s="310" t="s">
        <v>16</v>
      </c>
      <c r="B32" t="s">
        <v>3946</v>
      </c>
      <c r="C32" t="s">
        <v>3947</v>
      </c>
      <c r="D32" t="s">
        <v>3975</v>
      </c>
      <c r="E32" t="s">
        <v>3976</v>
      </c>
      <c r="F32" t="s">
        <v>3917</v>
      </c>
      <c r="G32" t="s">
        <v>1585</v>
      </c>
    </row>
    <row r="33" spans="1:7" ht="11.25" customHeight="1">
      <c r="A33" s="310" t="s">
        <v>16</v>
      </c>
      <c r="B33" t="s">
        <v>3977</v>
      </c>
      <c r="C33" t="s">
        <v>3978</v>
      </c>
      <c r="D33" t="s">
        <v>3979</v>
      </c>
      <c r="E33" t="s">
        <v>3980</v>
      </c>
      <c r="F33" t="s">
        <v>3917</v>
      </c>
      <c r="G33" t="s">
        <v>1587</v>
      </c>
    </row>
    <row r="34" spans="1:7" ht="11.25" customHeight="1">
      <c r="A34" s="310" t="s">
        <v>16</v>
      </c>
      <c r="B34" t="s">
        <v>3977</v>
      </c>
      <c r="C34" t="s">
        <v>3978</v>
      </c>
      <c r="D34" t="s">
        <v>3977</v>
      </c>
      <c r="E34" t="s">
        <v>3978</v>
      </c>
      <c r="F34" t="s">
        <v>3914</v>
      </c>
      <c r="G34" t="s">
        <v>1589</v>
      </c>
    </row>
    <row r="35" spans="1:7" ht="11.25" customHeight="1">
      <c r="A35" s="310" t="s">
        <v>16</v>
      </c>
      <c r="B35" t="s">
        <v>3977</v>
      </c>
      <c r="C35" t="s">
        <v>3978</v>
      </c>
      <c r="D35" t="s">
        <v>3981</v>
      </c>
      <c r="E35" t="s">
        <v>3982</v>
      </c>
      <c r="F35" t="s">
        <v>3952</v>
      </c>
      <c r="G35" t="s">
        <v>1594</v>
      </c>
    </row>
    <row r="36" spans="1:7" ht="11.25" customHeight="1">
      <c r="A36" s="310" t="s">
        <v>16</v>
      </c>
      <c r="B36" t="s">
        <v>3977</v>
      </c>
      <c r="C36" t="s">
        <v>3978</v>
      </c>
      <c r="D36" t="s">
        <v>3983</v>
      </c>
      <c r="E36" t="s">
        <v>3984</v>
      </c>
      <c r="F36" t="s">
        <v>3917</v>
      </c>
      <c r="G36" t="s">
        <v>1599</v>
      </c>
    </row>
    <row r="37" spans="1:7" ht="11.25" customHeight="1">
      <c r="A37" s="310" t="s">
        <v>16</v>
      </c>
      <c r="B37" t="s">
        <v>3977</v>
      </c>
      <c r="C37" t="s">
        <v>3978</v>
      </c>
      <c r="D37" t="s">
        <v>3985</v>
      </c>
      <c r="E37" t="s">
        <v>3986</v>
      </c>
      <c r="F37" t="s">
        <v>3952</v>
      </c>
      <c r="G37" t="s">
        <v>1603</v>
      </c>
    </row>
    <row r="38" spans="1:7" ht="11.25" customHeight="1">
      <c r="A38" s="310" t="s">
        <v>16</v>
      </c>
      <c r="B38" t="s">
        <v>3977</v>
      </c>
      <c r="C38" t="s">
        <v>3978</v>
      </c>
      <c r="D38" t="s">
        <v>3987</v>
      </c>
      <c r="E38" t="s">
        <v>3988</v>
      </c>
      <c r="F38" t="s">
        <v>3917</v>
      </c>
      <c r="G38" t="s">
        <v>1611</v>
      </c>
    </row>
    <row r="39" spans="1:7" ht="11.25" customHeight="1">
      <c r="A39" s="310" t="s">
        <v>16</v>
      </c>
      <c r="B39" t="s">
        <v>3977</v>
      </c>
      <c r="C39" t="s">
        <v>3978</v>
      </c>
      <c r="D39" t="s">
        <v>3989</v>
      </c>
      <c r="E39" t="s">
        <v>3990</v>
      </c>
      <c r="F39" t="s">
        <v>3917</v>
      </c>
      <c r="G39" t="s">
        <v>1617</v>
      </c>
    </row>
    <row r="40" spans="1:7" ht="11.25" customHeight="1">
      <c r="A40" s="310" t="s">
        <v>16</v>
      </c>
      <c r="B40" t="s">
        <v>3977</v>
      </c>
      <c r="C40" t="s">
        <v>3978</v>
      </c>
      <c r="D40" t="s">
        <v>3991</v>
      </c>
      <c r="E40" t="s">
        <v>3992</v>
      </c>
      <c r="F40" t="s">
        <v>3917</v>
      </c>
      <c r="G40" t="s">
        <v>1622</v>
      </c>
    </row>
    <row r="41" spans="1:7" ht="11.25" customHeight="1">
      <c r="A41" s="310" t="s">
        <v>16</v>
      </c>
      <c r="B41" t="s">
        <v>3977</v>
      </c>
      <c r="C41" t="s">
        <v>3978</v>
      </c>
      <c r="D41" t="s">
        <v>3993</v>
      </c>
      <c r="E41" t="s">
        <v>3994</v>
      </c>
      <c r="F41" t="s">
        <v>3917</v>
      </c>
      <c r="G41" t="s">
        <v>1626</v>
      </c>
    </row>
    <row r="42" spans="1:7" ht="11.25" customHeight="1">
      <c r="A42" s="310" t="s">
        <v>16</v>
      </c>
      <c r="B42" t="s">
        <v>3977</v>
      </c>
      <c r="C42" t="s">
        <v>3978</v>
      </c>
      <c r="D42" t="s">
        <v>3995</v>
      </c>
      <c r="E42" t="s">
        <v>3996</v>
      </c>
      <c r="F42" t="s">
        <v>3917</v>
      </c>
      <c r="G42" t="s">
        <v>1629</v>
      </c>
    </row>
    <row r="43" spans="1:7" ht="11.25" customHeight="1">
      <c r="A43" s="310" t="s">
        <v>16</v>
      </c>
      <c r="B43" t="s">
        <v>3977</v>
      </c>
      <c r="C43" t="s">
        <v>3978</v>
      </c>
      <c r="D43" t="s">
        <v>3997</v>
      </c>
      <c r="E43" t="s">
        <v>3998</v>
      </c>
      <c r="F43" t="s">
        <v>3917</v>
      </c>
      <c r="G43" t="s">
        <v>1636</v>
      </c>
    </row>
    <row r="44" spans="1:7" ht="11.25" customHeight="1">
      <c r="A44" s="310" t="s">
        <v>16</v>
      </c>
      <c r="B44" t="s">
        <v>3977</v>
      </c>
      <c r="C44" t="s">
        <v>3978</v>
      </c>
      <c r="D44" t="s">
        <v>3999</v>
      </c>
      <c r="E44" t="s">
        <v>4000</v>
      </c>
      <c r="F44" t="s">
        <v>3917</v>
      </c>
      <c r="G44" t="s">
        <v>1645</v>
      </c>
    </row>
    <row r="45" spans="1:7" ht="11.25" customHeight="1">
      <c r="A45" s="310" t="s">
        <v>16</v>
      </c>
      <c r="B45" t="s">
        <v>3977</v>
      </c>
      <c r="C45" t="s">
        <v>3978</v>
      </c>
      <c r="D45" t="s">
        <v>4001</v>
      </c>
      <c r="E45" t="s">
        <v>4002</v>
      </c>
      <c r="F45" t="s">
        <v>3952</v>
      </c>
      <c r="G45" t="s">
        <v>1650</v>
      </c>
    </row>
    <row r="46" spans="1:7" ht="11.25" customHeight="1">
      <c r="A46" s="310" t="s">
        <v>16</v>
      </c>
      <c r="B46" t="s">
        <v>3977</v>
      </c>
      <c r="C46" t="s">
        <v>3978</v>
      </c>
      <c r="D46" t="s">
        <v>4003</v>
      </c>
      <c r="E46" t="s">
        <v>4004</v>
      </c>
      <c r="F46" t="s">
        <v>3917</v>
      </c>
      <c r="G46" t="s">
        <v>1653</v>
      </c>
    </row>
    <row r="47" spans="1:7" ht="11.25" customHeight="1">
      <c r="A47" s="310" t="s">
        <v>16</v>
      </c>
      <c r="B47" t="s">
        <v>3977</v>
      </c>
      <c r="C47" t="s">
        <v>3978</v>
      </c>
      <c r="D47" t="s">
        <v>4005</v>
      </c>
      <c r="E47" t="s">
        <v>4006</v>
      </c>
      <c r="F47" t="s">
        <v>3917</v>
      </c>
      <c r="G47" t="s">
        <v>1659</v>
      </c>
    </row>
    <row r="48" spans="1:7" ht="11.25" customHeight="1">
      <c r="A48" s="310" t="s">
        <v>16</v>
      </c>
      <c r="B48" t="s">
        <v>3977</v>
      </c>
      <c r="C48" t="s">
        <v>3978</v>
      </c>
      <c r="D48" t="s">
        <v>4007</v>
      </c>
      <c r="E48" t="s">
        <v>4008</v>
      </c>
      <c r="F48" t="s">
        <v>3917</v>
      </c>
      <c r="G48" t="s">
        <v>1664</v>
      </c>
    </row>
    <row r="49" spans="1:7" ht="11.25" customHeight="1">
      <c r="A49" s="310" t="s">
        <v>16</v>
      </c>
      <c r="B49" t="s">
        <v>3977</v>
      </c>
      <c r="C49" t="s">
        <v>3978</v>
      </c>
      <c r="D49" t="s">
        <v>4009</v>
      </c>
      <c r="E49" t="s">
        <v>4010</v>
      </c>
      <c r="F49" t="s">
        <v>3917</v>
      </c>
      <c r="G49" t="s">
        <v>1667</v>
      </c>
    </row>
    <row r="50" spans="1:7" ht="11.25" customHeight="1">
      <c r="A50" s="310" t="s">
        <v>16</v>
      </c>
      <c r="B50" t="s">
        <v>3977</v>
      </c>
      <c r="C50" t="s">
        <v>3978</v>
      </c>
      <c r="D50" t="s">
        <v>4011</v>
      </c>
      <c r="E50" t="s">
        <v>4012</v>
      </c>
      <c r="F50" t="s">
        <v>3917</v>
      </c>
      <c r="G50" t="s">
        <v>1671</v>
      </c>
    </row>
    <row r="51" spans="1:7" ht="11.25" customHeight="1">
      <c r="A51" s="310" t="s">
        <v>16</v>
      </c>
      <c r="B51" t="s">
        <v>3977</v>
      </c>
      <c r="C51" t="s">
        <v>3978</v>
      </c>
      <c r="D51" t="s">
        <v>4013</v>
      </c>
      <c r="E51" t="s">
        <v>4014</v>
      </c>
      <c r="F51" t="s">
        <v>3917</v>
      </c>
      <c r="G51" t="s">
        <v>1676</v>
      </c>
    </row>
    <row r="52" spans="1:7" ht="11.25" customHeight="1">
      <c r="A52" s="310" t="s">
        <v>16</v>
      </c>
      <c r="B52" t="s">
        <v>4015</v>
      </c>
      <c r="C52" t="s">
        <v>4016</v>
      </c>
      <c r="D52" t="s">
        <v>4017</v>
      </c>
      <c r="E52" t="s">
        <v>4018</v>
      </c>
      <c r="F52" t="s">
        <v>3917</v>
      </c>
      <c r="G52" t="s">
        <v>1680</v>
      </c>
    </row>
    <row r="53" spans="1:7" ht="11.25" customHeight="1">
      <c r="A53" s="310" t="s">
        <v>16</v>
      </c>
      <c r="B53" t="s">
        <v>4015</v>
      </c>
      <c r="C53" t="s">
        <v>4016</v>
      </c>
      <c r="D53" t="s">
        <v>4019</v>
      </c>
      <c r="E53" t="s">
        <v>4020</v>
      </c>
      <c r="F53" t="s">
        <v>3917</v>
      </c>
      <c r="G53" t="s">
        <v>1682</v>
      </c>
    </row>
    <row r="54" spans="1:7" ht="11.25" customHeight="1">
      <c r="A54" s="310" t="s">
        <v>16</v>
      </c>
      <c r="B54" t="s">
        <v>4015</v>
      </c>
      <c r="C54" t="s">
        <v>4016</v>
      </c>
      <c r="D54" t="s">
        <v>4021</v>
      </c>
      <c r="E54" t="s">
        <v>4022</v>
      </c>
      <c r="F54" t="s">
        <v>3917</v>
      </c>
      <c r="G54" t="s">
        <v>1685</v>
      </c>
    </row>
    <row r="55" spans="1:7" ht="11.25" customHeight="1">
      <c r="A55" s="310" t="s">
        <v>16</v>
      </c>
      <c r="B55" t="s">
        <v>4015</v>
      </c>
      <c r="C55" t="s">
        <v>4016</v>
      </c>
      <c r="D55" t="s">
        <v>4015</v>
      </c>
      <c r="E55" t="s">
        <v>4016</v>
      </c>
      <c r="F55" t="s">
        <v>3914</v>
      </c>
      <c r="G55" t="s">
        <v>1689</v>
      </c>
    </row>
    <row r="56" spans="1:7" ht="11.25" customHeight="1">
      <c r="A56" s="310" t="s">
        <v>16</v>
      </c>
      <c r="B56" t="s">
        <v>4015</v>
      </c>
      <c r="C56" t="s">
        <v>4016</v>
      </c>
      <c r="D56" t="s">
        <v>4023</v>
      </c>
      <c r="E56" t="s">
        <v>4024</v>
      </c>
      <c r="F56" t="s">
        <v>3952</v>
      </c>
      <c r="G56" t="s">
        <v>1692</v>
      </c>
    </row>
    <row r="57" spans="1:7" ht="11.25" customHeight="1">
      <c r="A57" s="310" t="s">
        <v>16</v>
      </c>
      <c r="B57" t="s">
        <v>4015</v>
      </c>
      <c r="C57" t="s">
        <v>4016</v>
      </c>
      <c r="D57" t="s">
        <v>4025</v>
      </c>
      <c r="E57" t="s">
        <v>4026</v>
      </c>
      <c r="F57" t="s">
        <v>3917</v>
      </c>
      <c r="G57" t="s">
        <v>1695</v>
      </c>
    </row>
    <row r="58" spans="1:7" ht="11.25" customHeight="1">
      <c r="A58" s="310" t="s">
        <v>16</v>
      </c>
      <c r="B58" t="s">
        <v>4015</v>
      </c>
      <c r="C58" t="s">
        <v>4016</v>
      </c>
      <c r="D58" t="s">
        <v>4027</v>
      </c>
      <c r="E58" t="s">
        <v>4028</v>
      </c>
      <c r="F58" t="s">
        <v>3917</v>
      </c>
      <c r="G58" t="s">
        <v>1698</v>
      </c>
    </row>
    <row r="59" spans="1:7" ht="11.25" customHeight="1">
      <c r="A59" s="310" t="s">
        <v>16</v>
      </c>
      <c r="B59" t="s">
        <v>4015</v>
      </c>
      <c r="C59" t="s">
        <v>4016</v>
      </c>
      <c r="D59" t="s">
        <v>4029</v>
      </c>
      <c r="E59" t="s">
        <v>4030</v>
      </c>
      <c r="F59" t="s">
        <v>3917</v>
      </c>
      <c r="G59" t="s">
        <v>1702</v>
      </c>
    </row>
    <row r="60" spans="1:7" ht="11.25" customHeight="1">
      <c r="A60" s="310" t="s">
        <v>16</v>
      </c>
      <c r="B60" t="s">
        <v>4015</v>
      </c>
      <c r="C60" t="s">
        <v>4016</v>
      </c>
      <c r="D60" t="s">
        <v>4031</v>
      </c>
      <c r="E60" t="s">
        <v>4032</v>
      </c>
      <c r="F60" t="s">
        <v>3917</v>
      </c>
      <c r="G60" t="s">
        <v>1705</v>
      </c>
    </row>
    <row r="61" spans="1:7" ht="11.25" customHeight="1">
      <c r="A61" s="310" t="s">
        <v>16</v>
      </c>
      <c r="B61" t="s">
        <v>4015</v>
      </c>
      <c r="C61" t="s">
        <v>4016</v>
      </c>
      <c r="D61" t="s">
        <v>4033</v>
      </c>
      <c r="E61" t="s">
        <v>4034</v>
      </c>
      <c r="F61" t="s">
        <v>3917</v>
      </c>
      <c r="G61" t="s">
        <v>4035</v>
      </c>
    </row>
    <row r="62" spans="1:7" ht="11.25" customHeight="1">
      <c r="A62" s="310" t="s">
        <v>16</v>
      </c>
      <c r="B62" t="s">
        <v>4015</v>
      </c>
      <c r="C62" t="s">
        <v>4016</v>
      </c>
      <c r="D62" t="s">
        <v>4036</v>
      </c>
      <c r="E62" t="s">
        <v>4037</v>
      </c>
      <c r="F62" t="s">
        <v>3917</v>
      </c>
      <c r="G62" t="s">
        <v>4038</v>
      </c>
    </row>
    <row r="63" spans="1:7" ht="11.25" customHeight="1">
      <c r="A63" s="310" t="s">
        <v>16</v>
      </c>
      <c r="B63" t="s">
        <v>4015</v>
      </c>
      <c r="C63" t="s">
        <v>4016</v>
      </c>
      <c r="D63" t="s">
        <v>4039</v>
      </c>
      <c r="E63" t="s">
        <v>4040</v>
      </c>
      <c r="F63" t="s">
        <v>3917</v>
      </c>
      <c r="G63" t="s">
        <v>4041</v>
      </c>
    </row>
    <row r="64" spans="1:7" ht="11.25" customHeight="1">
      <c r="A64" s="310" t="s">
        <v>16</v>
      </c>
      <c r="B64" t="s">
        <v>4042</v>
      </c>
      <c r="C64" t="s">
        <v>4043</v>
      </c>
      <c r="D64" t="s">
        <v>4044</v>
      </c>
      <c r="E64" t="s">
        <v>4045</v>
      </c>
      <c r="F64" t="s">
        <v>3917</v>
      </c>
      <c r="G64" t="s">
        <v>4046</v>
      </c>
    </row>
    <row r="65" spans="1:7" ht="11.25" customHeight="1">
      <c r="A65" s="310" t="s">
        <v>16</v>
      </c>
      <c r="B65" t="s">
        <v>4042</v>
      </c>
      <c r="C65" t="s">
        <v>4043</v>
      </c>
      <c r="D65" t="s">
        <v>4047</v>
      </c>
      <c r="E65" t="s">
        <v>4048</v>
      </c>
      <c r="F65" t="s">
        <v>3917</v>
      </c>
      <c r="G65" t="s">
        <v>4049</v>
      </c>
    </row>
    <row r="66" spans="1:7" ht="11.25" customHeight="1">
      <c r="A66" s="310" t="s">
        <v>16</v>
      </c>
      <c r="B66" t="s">
        <v>4042</v>
      </c>
      <c r="C66" t="s">
        <v>4043</v>
      </c>
      <c r="D66" t="s">
        <v>4050</v>
      </c>
      <c r="E66" t="s">
        <v>4051</v>
      </c>
      <c r="F66" t="s">
        <v>3917</v>
      </c>
      <c r="G66" t="s">
        <v>4052</v>
      </c>
    </row>
    <row r="67" spans="1:7" ht="11.25" customHeight="1">
      <c r="A67" s="310" t="s">
        <v>16</v>
      </c>
      <c r="B67" t="s">
        <v>4042</v>
      </c>
      <c r="C67" t="s">
        <v>4043</v>
      </c>
      <c r="D67" t="s">
        <v>4053</v>
      </c>
      <c r="E67" t="s">
        <v>4054</v>
      </c>
      <c r="F67" t="s">
        <v>3917</v>
      </c>
      <c r="G67" t="s">
        <v>2022</v>
      </c>
    </row>
    <row r="68" spans="1:7" ht="11.25" customHeight="1">
      <c r="A68" s="310" t="s">
        <v>16</v>
      </c>
      <c r="B68" t="s">
        <v>4042</v>
      </c>
      <c r="C68" t="s">
        <v>4043</v>
      </c>
      <c r="D68" t="s">
        <v>4042</v>
      </c>
      <c r="E68" t="s">
        <v>4043</v>
      </c>
      <c r="F68" t="s">
        <v>3914</v>
      </c>
      <c r="G68" t="s">
        <v>4055</v>
      </c>
    </row>
    <row r="69" spans="1:7" ht="11.25" customHeight="1">
      <c r="A69" s="310" t="s">
        <v>16</v>
      </c>
      <c r="B69" t="s">
        <v>4042</v>
      </c>
      <c r="C69" t="s">
        <v>4043</v>
      </c>
      <c r="D69" t="s">
        <v>4056</v>
      </c>
      <c r="E69" t="s">
        <v>4057</v>
      </c>
      <c r="F69" t="s">
        <v>3917</v>
      </c>
      <c r="G69" t="s">
        <v>2225</v>
      </c>
    </row>
    <row r="70" spans="1:7" ht="11.25" customHeight="1">
      <c r="A70" s="310" t="s">
        <v>16</v>
      </c>
      <c r="B70" t="s">
        <v>4042</v>
      </c>
      <c r="C70" t="s">
        <v>4043</v>
      </c>
      <c r="D70" t="s">
        <v>4058</v>
      </c>
      <c r="E70" t="s">
        <v>4059</v>
      </c>
      <c r="F70" t="s">
        <v>3917</v>
      </c>
      <c r="G70" t="s">
        <v>4060</v>
      </c>
    </row>
    <row r="71" spans="1:7" ht="11.25" customHeight="1">
      <c r="A71" s="310" t="s">
        <v>16</v>
      </c>
      <c r="B71" t="s">
        <v>4042</v>
      </c>
      <c r="C71" t="s">
        <v>4043</v>
      </c>
      <c r="D71" t="s">
        <v>4061</v>
      </c>
      <c r="E71" t="s">
        <v>4062</v>
      </c>
      <c r="F71" t="s">
        <v>3917</v>
      </c>
      <c r="G71" t="s">
        <v>4063</v>
      </c>
    </row>
    <row r="72" spans="1:7" ht="11.25" customHeight="1">
      <c r="A72" s="310" t="s">
        <v>16</v>
      </c>
      <c r="B72" t="s">
        <v>4042</v>
      </c>
      <c r="C72" t="s">
        <v>4043</v>
      </c>
      <c r="D72" t="s">
        <v>4007</v>
      </c>
      <c r="E72" t="s">
        <v>4064</v>
      </c>
      <c r="F72" t="s">
        <v>3917</v>
      </c>
      <c r="G72" t="s">
        <v>4065</v>
      </c>
    </row>
    <row r="73" spans="1:7" ht="11.25" customHeight="1">
      <c r="A73" s="310" t="s">
        <v>16</v>
      </c>
      <c r="B73" t="s">
        <v>4042</v>
      </c>
      <c r="C73" t="s">
        <v>4043</v>
      </c>
      <c r="D73" t="s">
        <v>4066</v>
      </c>
      <c r="E73" t="s">
        <v>4067</v>
      </c>
      <c r="F73" t="s">
        <v>3917</v>
      </c>
      <c r="G73" t="s">
        <v>4068</v>
      </c>
    </row>
    <row r="74" spans="1:7" ht="11.25" customHeight="1">
      <c r="A74" s="310" t="s">
        <v>16</v>
      </c>
      <c r="B74" t="s">
        <v>4042</v>
      </c>
      <c r="C74" t="s">
        <v>4043</v>
      </c>
      <c r="D74" t="s">
        <v>4069</v>
      </c>
      <c r="E74" t="s">
        <v>4070</v>
      </c>
      <c r="F74" t="s">
        <v>3917</v>
      </c>
      <c r="G74" t="s">
        <v>4071</v>
      </c>
    </row>
    <row r="75" spans="1:7" ht="11.25" customHeight="1">
      <c r="A75" s="310" t="s">
        <v>16</v>
      </c>
      <c r="B75" t="s">
        <v>4042</v>
      </c>
      <c r="C75" t="s">
        <v>4043</v>
      </c>
      <c r="D75" t="s">
        <v>4072</v>
      </c>
      <c r="E75" t="s">
        <v>4073</v>
      </c>
      <c r="F75" t="s">
        <v>3917</v>
      </c>
      <c r="G75" t="s">
        <v>4074</v>
      </c>
    </row>
    <row r="76" spans="1:7" ht="11.25" customHeight="1">
      <c r="A76" s="310" t="s">
        <v>16</v>
      </c>
      <c r="B76" t="s">
        <v>4042</v>
      </c>
      <c r="C76" t="s">
        <v>4043</v>
      </c>
      <c r="D76" t="s">
        <v>4075</v>
      </c>
      <c r="E76" t="s">
        <v>4076</v>
      </c>
      <c r="F76" t="s">
        <v>3917</v>
      </c>
      <c r="G76" t="s">
        <v>4077</v>
      </c>
    </row>
    <row r="77" spans="1:7" ht="11.25" customHeight="1">
      <c r="A77" s="310" t="s">
        <v>16</v>
      </c>
      <c r="B77" t="s">
        <v>4042</v>
      </c>
      <c r="C77" t="s">
        <v>4043</v>
      </c>
      <c r="D77" t="s">
        <v>4078</v>
      </c>
      <c r="E77" t="s">
        <v>4079</v>
      </c>
      <c r="F77" t="s">
        <v>3917</v>
      </c>
      <c r="G77" t="s">
        <v>4080</v>
      </c>
    </row>
    <row r="78" spans="1:7" ht="11.25" customHeight="1">
      <c r="A78" s="310" t="s">
        <v>16</v>
      </c>
      <c r="B78" t="s">
        <v>4042</v>
      </c>
      <c r="C78" t="s">
        <v>4043</v>
      </c>
      <c r="D78" t="s">
        <v>4081</v>
      </c>
      <c r="E78" t="s">
        <v>4082</v>
      </c>
      <c r="F78" t="s">
        <v>4083</v>
      </c>
      <c r="G78" t="s">
        <v>4084</v>
      </c>
    </row>
    <row r="79" spans="1:7" ht="11.25" customHeight="1">
      <c r="A79" s="310" t="s">
        <v>16</v>
      </c>
      <c r="B79" t="s">
        <v>4085</v>
      </c>
      <c r="C79" t="s">
        <v>4086</v>
      </c>
      <c r="D79" t="s">
        <v>4087</v>
      </c>
      <c r="E79" t="s">
        <v>4088</v>
      </c>
      <c r="F79" t="s">
        <v>3917</v>
      </c>
      <c r="G79" t="s">
        <v>4089</v>
      </c>
    </row>
    <row r="80" spans="1:7" ht="11.25" customHeight="1">
      <c r="A80" s="310" t="s">
        <v>16</v>
      </c>
      <c r="B80" t="s">
        <v>4085</v>
      </c>
      <c r="C80" t="s">
        <v>4086</v>
      </c>
      <c r="D80" t="s">
        <v>4021</v>
      </c>
      <c r="E80" t="s">
        <v>4090</v>
      </c>
      <c r="F80" t="s">
        <v>3917</v>
      </c>
      <c r="G80" t="s">
        <v>4091</v>
      </c>
    </row>
    <row r="81" spans="1:7" ht="11.25" customHeight="1">
      <c r="A81" s="310" t="s">
        <v>16</v>
      </c>
      <c r="B81" t="s">
        <v>4085</v>
      </c>
      <c r="C81" t="s">
        <v>4086</v>
      </c>
      <c r="D81" t="s">
        <v>4092</v>
      </c>
      <c r="E81" t="s">
        <v>4093</v>
      </c>
      <c r="F81" t="s">
        <v>3917</v>
      </c>
      <c r="G81" t="s">
        <v>4094</v>
      </c>
    </row>
    <row r="82" spans="1:7" ht="11.25" customHeight="1">
      <c r="A82" s="310" t="s">
        <v>16</v>
      </c>
      <c r="B82" t="s">
        <v>4085</v>
      </c>
      <c r="C82" t="s">
        <v>4086</v>
      </c>
      <c r="D82" t="s">
        <v>4095</v>
      </c>
      <c r="E82" t="s">
        <v>4096</v>
      </c>
      <c r="F82" t="s">
        <v>3917</v>
      </c>
      <c r="G82" t="s">
        <v>4097</v>
      </c>
    </row>
    <row r="83" spans="1:7" ht="11.25" customHeight="1">
      <c r="A83" s="310" t="s">
        <v>16</v>
      </c>
      <c r="B83" t="s">
        <v>4085</v>
      </c>
      <c r="C83" t="s">
        <v>4086</v>
      </c>
      <c r="D83" t="s">
        <v>4098</v>
      </c>
      <c r="E83" t="s">
        <v>4099</v>
      </c>
      <c r="F83" t="s">
        <v>3917</v>
      </c>
      <c r="G83" t="s">
        <v>4100</v>
      </c>
    </row>
    <row r="84" spans="1:7" ht="11.25" customHeight="1">
      <c r="A84" s="310" t="s">
        <v>16</v>
      </c>
      <c r="B84" t="s">
        <v>4085</v>
      </c>
      <c r="C84" t="s">
        <v>4086</v>
      </c>
      <c r="D84" t="s">
        <v>4101</v>
      </c>
      <c r="E84" t="s">
        <v>4102</v>
      </c>
      <c r="F84" t="s">
        <v>3917</v>
      </c>
      <c r="G84" t="s">
        <v>4103</v>
      </c>
    </row>
    <row r="85" spans="1:7" ht="11.25" customHeight="1">
      <c r="A85" s="310" t="s">
        <v>16</v>
      </c>
      <c r="B85" t="s">
        <v>4085</v>
      </c>
      <c r="C85" t="s">
        <v>4086</v>
      </c>
      <c r="D85" t="s">
        <v>4085</v>
      </c>
      <c r="E85" t="s">
        <v>4086</v>
      </c>
      <c r="F85" t="s">
        <v>3914</v>
      </c>
      <c r="G85" t="s">
        <v>4104</v>
      </c>
    </row>
    <row r="86" spans="1:7" ht="11.25" customHeight="1">
      <c r="A86" s="310" t="s">
        <v>16</v>
      </c>
      <c r="B86" t="s">
        <v>4085</v>
      </c>
      <c r="C86" t="s">
        <v>4086</v>
      </c>
      <c r="D86" t="s">
        <v>4105</v>
      </c>
      <c r="E86" t="s">
        <v>4106</v>
      </c>
      <c r="F86" t="s">
        <v>3952</v>
      </c>
      <c r="G86" t="s">
        <v>4107</v>
      </c>
    </row>
    <row r="87" spans="1:7" ht="11.25" customHeight="1">
      <c r="A87" s="310" t="s">
        <v>16</v>
      </c>
      <c r="B87" t="s">
        <v>4085</v>
      </c>
      <c r="C87" t="s">
        <v>4086</v>
      </c>
      <c r="D87" t="s">
        <v>4108</v>
      </c>
      <c r="E87" t="s">
        <v>4109</v>
      </c>
      <c r="F87" t="s">
        <v>3917</v>
      </c>
      <c r="G87" t="s">
        <v>4110</v>
      </c>
    </row>
    <row r="88" spans="1:7" ht="11.25" customHeight="1">
      <c r="A88" s="310" t="s">
        <v>16</v>
      </c>
      <c r="B88" t="s">
        <v>4085</v>
      </c>
      <c r="C88" t="s">
        <v>4086</v>
      </c>
      <c r="D88" t="s">
        <v>4111</v>
      </c>
      <c r="E88" t="s">
        <v>4112</v>
      </c>
      <c r="F88" t="s">
        <v>3917</v>
      </c>
      <c r="G88" t="s">
        <v>4113</v>
      </c>
    </row>
    <row r="89" spans="1:7" ht="11.25" customHeight="1">
      <c r="A89" s="310" t="s">
        <v>16</v>
      </c>
      <c r="B89" t="s">
        <v>4085</v>
      </c>
      <c r="C89" t="s">
        <v>4086</v>
      </c>
      <c r="D89" t="s">
        <v>4114</v>
      </c>
      <c r="E89" t="s">
        <v>4115</v>
      </c>
      <c r="F89" t="s">
        <v>3917</v>
      </c>
      <c r="G89" t="s">
        <v>4116</v>
      </c>
    </row>
    <row r="90" spans="1:7" ht="11.25" customHeight="1">
      <c r="A90" s="310" t="s">
        <v>16</v>
      </c>
      <c r="B90" t="s">
        <v>4085</v>
      </c>
      <c r="C90" t="s">
        <v>4086</v>
      </c>
      <c r="D90" t="s">
        <v>4117</v>
      </c>
      <c r="E90" t="s">
        <v>4118</v>
      </c>
      <c r="F90" t="s">
        <v>3917</v>
      </c>
      <c r="G90" t="s">
        <v>4119</v>
      </c>
    </row>
    <row r="91" spans="1:7" ht="11.25" customHeight="1">
      <c r="A91" s="310" t="s">
        <v>16</v>
      </c>
      <c r="B91" t="s">
        <v>4085</v>
      </c>
      <c r="C91" t="s">
        <v>4086</v>
      </c>
      <c r="D91" t="s">
        <v>4120</v>
      </c>
      <c r="E91" t="s">
        <v>4121</v>
      </c>
      <c r="F91" t="s">
        <v>3917</v>
      </c>
      <c r="G91" t="s">
        <v>4122</v>
      </c>
    </row>
    <row r="92" spans="1:7" ht="11.25" customHeight="1">
      <c r="A92" s="310" t="s">
        <v>16</v>
      </c>
      <c r="B92" t="s">
        <v>4085</v>
      </c>
      <c r="C92" t="s">
        <v>4086</v>
      </c>
      <c r="D92" t="s">
        <v>4123</v>
      </c>
      <c r="E92" t="s">
        <v>4124</v>
      </c>
      <c r="F92" t="s">
        <v>3917</v>
      </c>
      <c r="G92" t="s">
        <v>4125</v>
      </c>
    </row>
    <row r="93" spans="1:7" ht="11.25" customHeight="1">
      <c r="A93" s="310" t="s">
        <v>16</v>
      </c>
      <c r="B93" t="s">
        <v>4085</v>
      </c>
      <c r="C93" t="s">
        <v>4086</v>
      </c>
      <c r="D93" t="s">
        <v>4126</v>
      </c>
      <c r="E93" t="s">
        <v>4127</v>
      </c>
      <c r="F93" t="s">
        <v>3917</v>
      </c>
      <c r="G93" t="s">
        <v>4128</v>
      </c>
    </row>
    <row r="94" spans="1:7" ht="11.25" customHeight="1">
      <c r="A94" s="310" t="s">
        <v>16</v>
      </c>
      <c r="B94" t="s">
        <v>4085</v>
      </c>
      <c r="C94" t="s">
        <v>4086</v>
      </c>
      <c r="D94" t="s">
        <v>4129</v>
      </c>
      <c r="E94" t="s">
        <v>4130</v>
      </c>
      <c r="F94" t="s">
        <v>3917</v>
      </c>
      <c r="G94" t="s">
        <v>4131</v>
      </c>
    </row>
    <row r="95" spans="1:7" ht="11.25" customHeight="1">
      <c r="A95" s="310" t="s">
        <v>16</v>
      </c>
      <c r="B95" t="s">
        <v>4085</v>
      </c>
      <c r="C95" t="s">
        <v>4086</v>
      </c>
      <c r="D95" t="s">
        <v>4132</v>
      </c>
      <c r="E95" t="s">
        <v>4133</v>
      </c>
      <c r="F95" t="s">
        <v>3917</v>
      </c>
      <c r="G95" t="s">
        <v>4134</v>
      </c>
    </row>
    <row r="96" spans="1:7" ht="11.25" customHeight="1">
      <c r="A96" s="310" t="s">
        <v>16</v>
      </c>
      <c r="B96" t="s">
        <v>4085</v>
      </c>
      <c r="C96" t="s">
        <v>4086</v>
      </c>
      <c r="D96" t="s">
        <v>4135</v>
      </c>
      <c r="E96" t="s">
        <v>4136</v>
      </c>
      <c r="F96" t="s">
        <v>3917</v>
      </c>
      <c r="G96" t="s">
        <v>4137</v>
      </c>
    </row>
    <row r="97" spans="1:7" ht="11.25" customHeight="1">
      <c r="A97" s="310" t="s">
        <v>16</v>
      </c>
      <c r="B97" t="s">
        <v>4138</v>
      </c>
      <c r="C97" t="s">
        <v>4139</v>
      </c>
      <c r="D97" t="s">
        <v>3948</v>
      </c>
      <c r="E97" t="s">
        <v>4140</v>
      </c>
      <c r="F97" t="s">
        <v>3917</v>
      </c>
      <c r="G97" t="s">
        <v>4141</v>
      </c>
    </row>
    <row r="98" spans="1:7" ht="11.25" customHeight="1">
      <c r="A98" s="310" t="s">
        <v>16</v>
      </c>
      <c r="B98" t="s">
        <v>4138</v>
      </c>
      <c r="C98" t="s">
        <v>4139</v>
      </c>
      <c r="D98" t="s">
        <v>4142</v>
      </c>
      <c r="E98" t="s">
        <v>4143</v>
      </c>
      <c r="F98" t="s">
        <v>3917</v>
      </c>
      <c r="G98" t="s">
        <v>4144</v>
      </c>
    </row>
    <row r="99" spans="1:7" ht="11.25" customHeight="1">
      <c r="A99" s="310" t="s">
        <v>16</v>
      </c>
      <c r="B99" t="s">
        <v>4138</v>
      </c>
      <c r="C99" t="s">
        <v>4139</v>
      </c>
      <c r="D99" t="s">
        <v>4145</v>
      </c>
      <c r="E99" t="s">
        <v>4146</v>
      </c>
      <c r="F99" t="s">
        <v>3917</v>
      </c>
      <c r="G99" t="s">
        <v>4147</v>
      </c>
    </row>
    <row r="100" spans="1:7" ht="11.25" customHeight="1">
      <c r="A100" s="310" t="s">
        <v>16</v>
      </c>
      <c r="B100" t="s">
        <v>4138</v>
      </c>
      <c r="C100" t="s">
        <v>4139</v>
      </c>
      <c r="D100" t="s">
        <v>4148</v>
      </c>
      <c r="E100" t="s">
        <v>4149</v>
      </c>
      <c r="F100" t="s">
        <v>3917</v>
      </c>
      <c r="G100" t="s">
        <v>4150</v>
      </c>
    </row>
    <row r="101" spans="1:7" ht="11.25" customHeight="1">
      <c r="A101" s="310" t="s">
        <v>16</v>
      </c>
      <c r="B101" t="s">
        <v>4138</v>
      </c>
      <c r="C101" t="s">
        <v>4139</v>
      </c>
      <c r="D101" t="s">
        <v>4138</v>
      </c>
      <c r="E101" t="s">
        <v>4139</v>
      </c>
      <c r="F101" t="s">
        <v>3914</v>
      </c>
      <c r="G101" t="s">
        <v>4151</v>
      </c>
    </row>
    <row r="102" spans="1:7" ht="11.25" customHeight="1">
      <c r="A102" s="310" t="s">
        <v>16</v>
      </c>
      <c r="B102" t="s">
        <v>4138</v>
      </c>
      <c r="C102" t="s">
        <v>4139</v>
      </c>
      <c r="D102" t="s">
        <v>4152</v>
      </c>
      <c r="E102" t="s">
        <v>4153</v>
      </c>
      <c r="F102" t="s">
        <v>4083</v>
      </c>
      <c r="G102" t="s">
        <v>4154</v>
      </c>
    </row>
    <row r="103" spans="1:7" ht="11.25" customHeight="1">
      <c r="A103" s="310" t="s">
        <v>16</v>
      </c>
      <c r="B103" t="s">
        <v>4138</v>
      </c>
      <c r="C103" t="s">
        <v>4139</v>
      </c>
      <c r="D103" t="s">
        <v>4155</v>
      </c>
      <c r="E103" t="s">
        <v>4156</v>
      </c>
      <c r="F103" t="s">
        <v>3917</v>
      </c>
      <c r="G103" t="s">
        <v>4157</v>
      </c>
    </row>
    <row r="104" spans="1:7" ht="11.25" customHeight="1">
      <c r="A104" s="310" t="s">
        <v>16</v>
      </c>
      <c r="B104" t="s">
        <v>4138</v>
      </c>
      <c r="C104" t="s">
        <v>4139</v>
      </c>
      <c r="D104" t="s">
        <v>4158</v>
      </c>
      <c r="E104" t="s">
        <v>4159</v>
      </c>
      <c r="F104" t="s">
        <v>3952</v>
      </c>
      <c r="G104" t="s">
        <v>4160</v>
      </c>
    </row>
    <row r="105" spans="1:7" ht="11.25" customHeight="1">
      <c r="A105" s="310" t="s">
        <v>16</v>
      </c>
      <c r="B105" t="s">
        <v>4138</v>
      </c>
      <c r="C105" t="s">
        <v>4139</v>
      </c>
      <c r="D105" t="s">
        <v>4161</v>
      </c>
      <c r="E105" t="s">
        <v>4162</v>
      </c>
      <c r="F105" t="s">
        <v>3952</v>
      </c>
      <c r="G105" t="s">
        <v>4163</v>
      </c>
    </row>
    <row r="106" spans="1:7" ht="11.25" customHeight="1">
      <c r="A106" s="310" t="s">
        <v>16</v>
      </c>
      <c r="B106" t="s">
        <v>4138</v>
      </c>
      <c r="C106" t="s">
        <v>4139</v>
      </c>
      <c r="D106" t="s">
        <v>4164</v>
      </c>
      <c r="E106" t="s">
        <v>4165</v>
      </c>
      <c r="F106" t="s">
        <v>3952</v>
      </c>
      <c r="G106" t="s">
        <v>4166</v>
      </c>
    </row>
    <row r="107" spans="1:7" ht="11.25" customHeight="1">
      <c r="A107" s="310" t="s">
        <v>16</v>
      </c>
      <c r="B107" t="s">
        <v>4138</v>
      </c>
      <c r="C107" t="s">
        <v>4139</v>
      </c>
      <c r="D107" t="s">
        <v>4167</v>
      </c>
      <c r="E107" t="s">
        <v>4168</v>
      </c>
      <c r="F107" t="s">
        <v>3917</v>
      </c>
      <c r="G107" t="s">
        <v>4169</v>
      </c>
    </row>
    <row r="108" spans="1:7" ht="11.25" customHeight="1">
      <c r="A108" s="310" t="s">
        <v>16</v>
      </c>
      <c r="B108" t="s">
        <v>4138</v>
      </c>
      <c r="C108" t="s">
        <v>4139</v>
      </c>
      <c r="D108" t="s">
        <v>4170</v>
      </c>
      <c r="E108" t="s">
        <v>4171</v>
      </c>
      <c r="F108" t="s">
        <v>3917</v>
      </c>
      <c r="G108" t="s">
        <v>4172</v>
      </c>
    </row>
    <row r="109" spans="1:7" ht="11.25" customHeight="1">
      <c r="A109" s="310" t="s">
        <v>16</v>
      </c>
      <c r="B109" t="s">
        <v>4138</v>
      </c>
      <c r="C109" t="s">
        <v>4139</v>
      </c>
      <c r="D109" t="s">
        <v>4173</v>
      </c>
      <c r="E109" t="s">
        <v>4174</v>
      </c>
      <c r="F109" t="s">
        <v>3917</v>
      </c>
      <c r="G109" t="s">
        <v>4175</v>
      </c>
    </row>
    <row r="110" spans="1:7" ht="11.25" customHeight="1">
      <c r="A110" s="310" t="s">
        <v>16</v>
      </c>
      <c r="B110" t="s">
        <v>4138</v>
      </c>
      <c r="C110" t="s">
        <v>4139</v>
      </c>
      <c r="D110" t="s">
        <v>4176</v>
      </c>
      <c r="E110" t="s">
        <v>4177</v>
      </c>
      <c r="F110" t="s">
        <v>3917</v>
      </c>
      <c r="G110" t="s">
        <v>4178</v>
      </c>
    </row>
    <row r="111" spans="1:7" ht="11.25" customHeight="1">
      <c r="A111" s="310" t="s">
        <v>16</v>
      </c>
      <c r="B111" t="s">
        <v>4138</v>
      </c>
      <c r="C111" t="s">
        <v>4139</v>
      </c>
      <c r="D111" t="s">
        <v>4179</v>
      </c>
      <c r="E111" t="s">
        <v>4180</v>
      </c>
      <c r="F111" t="s">
        <v>3917</v>
      </c>
      <c r="G111" t="s">
        <v>4181</v>
      </c>
    </row>
    <row r="112" spans="1:7" ht="11.25" customHeight="1">
      <c r="A112" s="310" t="s">
        <v>16</v>
      </c>
      <c r="B112" t="s">
        <v>4182</v>
      </c>
      <c r="C112" t="s">
        <v>4183</v>
      </c>
      <c r="D112" t="s">
        <v>4184</v>
      </c>
      <c r="E112" t="s">
        <v>4185</v>
      </c>
      <c r="F112" t="s">
        <v>3917</v>
      </c>
      <c r="G112" t="s">
        <v>4186</v>
      </c>
    </row>
    <row r="113" spans="1:7" ht="11.25" customHeight="1">
      <c r="A113" s="310" t="s">
        <v>16</v>
      </c>
      <c r="B113" t="s">
        <v>4182</v>
      </c>
      <c r="C113" t="s">
        <v>4183</v>
      </c>
      <c r="D113" t="s">
        <v>3948</v>
      </c>
      <c r="E113" t="s">
        <v>4187</v>
      </c>
      <c r="F113" t="s">
        <v>3917</v>
      </c>
      <c r="G113" t="s">
        <v>4188</v>
      </c>
    </row>
    <row r="114" spans="1:7" ht="11.25" customHeight="1">
      <c r="A114" s="310" t="s">
        <v>16</v>
      </c>
      <c r="B114" t="s">
        <v>4182</v>
      </c>
      <c r="C114" t="s">
        <v>4183</v>
      </c>
      <c r="D114" t="s">
        <v>4189</v>
      </c>
      <c r="E114" t="s">
        <v>4190</v>
      </c>
      <c r="F114" t="s">
        <v>3917</v>
      </c>
      <c r="G114" t="s">
        <v>4191</v>
      </c>
    </row>
    <row r="115" spans="1:7" ht="11.25" customHeight="1">
      <c r="A115" s="310" t="s">
        <v>16</v>
      </c>
      <c r="B115" t="s">
        <v>4182</v>
      </c>
      <c r="C115" t="s">
        <v>4183</v>
      </c>
      <c r="D115" t="s">
        <v>4182</v>
      </c>
      <c r="E115" t="s">
        <v>4183</v>
      </c>
      <c r="F115" t="s">
        <v>3914</v>
      </c>
      <c r="G115" t="s">
        <v>4192</v>
      </c>
    </row>
    <row r="116" spans="1:7" ht="11.25" customHeight="1">
      <c r="A116" s="310" t="s">
        <v>16</v>
      </c>
      <c r="B116" t="s">
        <v>4182</v>
      </c>
      <c r="C116" t="s">
        <v>4183</v>
      </c>
      <c r="D116" t="s">
        <v>4193</v>
      </c>
      <c r="E116" t="s">
        <v>4194</v>
      </c>
      <c r="F116" t="s">
        <v>3952</v>
      </c>
      <c r="G116" t="s">
        <v>4195</v>
      </c>
    </row>
    <row r="117" spans="1:7" ht="11.25" customHeight="1">
      <c r="A117" s="310" t="s">
        <v>16</v>
      </c>
      <c r="B117" t="s">
        <v>4182</v>
      </c>
      <c r="C117" t="s">
        <v>4183</v>
      </c>
      <c r="D117" t="s">
        <v>4196</v>
      </c>
      <c r="E117" t="s">
        <v>4197</v>
      </c>
      <c r="F117" t="s">
        <v>3917</v>
      </c>
      <c r="G117" t="s">
        <v>4198</v>
      </c>
    </row>
    <row r="118" spans="1:7" ht="11.25" customHeight="1">
      <c r="A118" s="310" t="s">
        <v>16</v>
      </c>
      <c r="B118" t="s">
        <v>4182</v>
      </c>
      <c r="C118" t="s">
        <v>4183</v>
      </c>
      <c r="D118" t="s">
        <v>4199</v>
      </c>
      <c r="E118" t="s">
        <v>4200</v>
      </c>
      <c r="F118" t="s">
        <v>3917</v>
      </c>
      <c r="G118" t="s">
        <v>4201</v>
      </c>
    </row>
    <row r="119" spans="1:7" ht="11.25" customHeight="1">
      <c r="A119" s="310" t="s">
        <v>16</v>
      </c>
      <c r="B119" t="s">
        <v>4182</v>
      </c>
      <c r="C119" t="s">
        <v>4183</v>
      </c>
      <c r="D119" t="s">
        <v>4202</v>
      </c>
      <c r="E119" t="s">
        <v>4203</v>
      </c>
      <c r="F119" t="s">
        <v>3917</v>
      </c>
      <c r="G119" t="s">
        <v>4204</v>
      </c>
    </row>
    <row r="120" spans="1:7" ht="11.25" customHeight="1">
      <c r="A120" s="310" t="s">
        <v>16</v>
      </c>
      <c r="B120" t="s">
        <v>4182</v>
      </c>
      <c r="C120" t="s">
        <v>4183</v>
      </c>
      <c r="D120" t="s">
        <v>4205</v>
      </c>
      <c r="E120" t="s">
        <v>4206</v>
      </c>
      <c r="F120" t="s">
        <v>3917</v>
      </c>
      <c r="G120" t="s">
        <v>4207</v>
      </c>
    </row>
    <row r="121" spans="1:7" ht="11.25" customHeight="1">
      <c r="A121" s="310" t="s">
        <v>16</v>
      </c>
      <c r="B121" t="s">
        <v>4182</v>
      </c>
      <c r="C121" t="s">
        <v>4183</v>
      </c>
      <c r="D121" t="s">
        <v>4208</v>
      </c>
      <c r="E121" t="s">
        <v>4209</v>
      </c>
      <c r="F121" t="s">
        <v>3917</v>
      </c>
      <c r="G121" t="s">
        <v>4210</v>
      </c>
    </row>
    <row r="122" spans="1:7" ht="11.25" customHeight="1">
      <c r="A122" s="310" t="s">
        <v>16</v>
      </c>
      <c r="B122" t="s">
        <v>4182</v>
      </c>
      <c r="C122" t="s">
        <v>4183</v>
      </c>
      <c r="D122" t="s">
        <v>4211</v>
      </c>
      <c r="E122" t="s">
        <v>4212</v>
      </c>
      <c r="F122" t="s">
        <v>3917</v>
      </c>
      <c r="G122" t="s">
        <v>4213</v>
      </c>
    </row>
    <row r="123" spans="1:7" ht="11.25" customHeight="1">
      <c r="A123" s="310" t="s">
        <v>16</v>
      </c>
      <c r="B123" t="s">
        <v>4182</v>
      </c>
      <c r="C123" t="s">
        <v>4183</v>
      </c>
      <c r="D123" t="s">
        <v>4214</v>
      </c>
      <c r="E123" t="s">
        <v>4215</v>
      </c>
      <c r="F123" t="s">
        <v>3917</v>
      </c>
      <c r="G123" t="s">
        <v>4216</v>
      </c>
    </row>
    <row r="124" spans="1:7" ht="11.25" customHeight="1">
      <c r="A124" s="310" t="s">
        <v>16</v>
      </c>
      <c r="B124" t="s">
        <v>4182</v>
      </c>
      <c r="C124" t="s">
        <v>4183</v>
      </c>
      <c r="D124" t="s">
        <v>4217</v>
      </c>
      <c r="E124" t="s">
        <v>4218</v>
      </c>
      <c r="F124" t="s">
        <v>3917</v>
      </c>
      <c r="G124" t="s">
        <v>4219</v>
      </c>
    </row>
    <row r="125" spans="1:7" ht="11.25" customHeight="1">
      <c r="A125" s="310" t="s">
        <v>16</v>
      </c>
      <c r="B125" t="s">
        <v>4182</v>
      </c>
      <c r="C125" t="s">
        <v>4183</v>
      </c>
      <c r="D125" t="s">
        <v>4220</v>
      </c>
      <c r="E125" t="s">
        <v>4221</v>
      </c>
      <c r="F125" t="s">
        <v>3917</v>
      </c>
      <c r="G125" t="s">
        <v>4222</v>
      </c>
    </row>
    <row r="126" spans="1:7" ht="11.25" customHeight="1">
      <c r="A126" s="310" t="s">
        <v>16</v>
      </c>
      <c r="B126" t="s">
        <v>4182</v>
      </c>
      <c r="C126" t="s">
        <v>4183</v>
      </c>
      <c r="D126" t="s">
        <v>4223</v>
      </c>
      <c r="E126" t="s">
        <v>4224</v>
      </c>
      <c r="F126" t="s">
        <v>3917</v>
      </c>
      <c r="G126" t="s">
        <v>4225</v>
      </c>
    </row>
    <row r="127" spans="1:7" ht="11.25" customHeight="1">
      <c r="A127" s="310" t="s">
        <v>16</v>
      </c>
      <c r="B127" t="s">
        <v>4226</v>
      </c>
      <c r="C127" t="s">
        <v>4227</v>
      </c>
      <c r="D127" t="s">
        <v>4228</v>
      </c>
      <c r="E127" t="s">
        <v>4229</v>
      </c>
      <c r="F127" t="s">
        <v>3917</v>
      </c>
      <c r="G127" t="s">
        <v>4230</v>
      </c>
    </row>
    <row r="128" spans="1:7" ht="11.25" customHeight="1">
      <c r="A128" s="310" t="s">
        <v>16</v>
      </c>
      <c r="B128" t="s">
        <v>4226</v>
      </c>
      <c r="C128" t="s">
        <v>4227</v>
      </c>
      <c r="D128" t="s">
        <v>4231</v>
      </c>
      <c r="E128" t="s">
        <v>4232</v>
      </c>
      <c r="F128" t="s">
        <v>3917</v>
      </c>
      <c r="G128" t="s">
        <v>4233</v>
      </c>
    </row>
    <row r="129" spans="1:7" ht="11.25" customHeight="1">
      <c r="A129" s="310" t="s">
        <v>16</v>
      </c>
      <c r="B129" t="s">
        <v>4226</v>
      </c>
      <c r="C129" t="s">
        <v>4227</v>
      </c>
      <c r="D129" t="s">
        <v>4234</v>
      </c>
      <c r="E129" t="s">
        <v>4235</v>
      </c>
      <c r="F129" t="s">
        <v>3917</v>
      </c>
      <c r="G129" t="s">
        <v>4236</v>
      </c>
    </row>
    <row r="130" spans="1:7" ht="11.25" customHeight="1">
      <c r="A130" s="310" t="s">
        <v>16</v>
      </c>
      <c r="B130" t="s">
        <v>4226</v>
      </c>
      <c r="C130" t="s">
        <v>4227</v>
      </c>
      <c r="D130" t="s">
        <v>4237</v>
      </c>
      <c r="E130" t="s">
        <v>4238</v>
      </c>
      <c r="F130" t="s">
        <v>3917</v>
      </c>
      <c r="G130" t="s">
        <v>4239</v>
      </c>
    </row>
    <row r="131" spans="1:7" ht="11.25" customHeight="1">
      <c r="A131" s="310" t="s">
        <v>16</v>
      </c>
      <c r="B131" t="s">
        <v>4226</v>
      </c>
      <c r="C131" t="s">
        <v>4227</v>
      </c>
      <c r="D131" t="s">
        <v>4240</v>
      </c>
      <c r="E131" t="s">
        <v>4241</v>
      </c>
      <c r="F131" t="s">
        <v>3917</v>
      </c>
      <c r="G131" t="s">
        <v>4242</v>
      </c>
    </row>
    <row r="132" spans="1:7" ht="11.25" customHeight="1">
      <c r="A132" s="310" t="s">
        <v>16</v>
      </c>
      <c r="B132" t="s">
        <v>4226</v>
      </c>
      <c r="C132" t="s">
        <v>4227</v>
      </c>
      <c r="D132" t="s">
        <v>4226</v>
      </c>
      <c r="E132" t="s">
        <v>4227</v>
      </c>
      <c r="F132" t="s">
        <v>3914</v>
      </c>
      <c r="G132" t="s">
        <v>4243</v>
      </c>
    </row>
    <row r="133" spans="1:7" ht="11.25" customHeight="1">
      <c r="A133" s="310" t="s">
        <v>16</v>
      </c>
      <c r="B133" t="s">
        <v>4226</v>
      </c>
      <c r="C133" t="s">
        <v>4227</v>
      </c>
      <c r="D133" t="s">
        <v>4244</v>
      </c>
      <c r="E133" t="s">
        <v>4245</v>
      </c>
      <c r="F133" t="s">
        <v>4083</v>
      </c>
      <c r="G133" t="s">
        <v>4246</v>
      </c>
    </row>
    <row r="134" spans="1:7" ht="11.25" customHeight="1">
      <c r="A134" s="310" t="s">
        <v>16</v>
      </c>
      <c r="B134" t="s">
        <v>4226</v>
      </c>
      <c r="C134" t="s">
        <v>4227</v>
      </c>
      <c r="D134" t="s">
        <v>4247</v>
      </c>
      <c r="E134" t="s">
        <v>4248</v>
      </c>
      <c r="F134" t="s">
        <v>3917</v>
      </c>
      <c r="G134" t="s">
        <v>4249</v>
      </c>
    </row>
    <row r="135" spans="1:7" ht="11.25" customHeight="1">
      <c r="A135" s="310" t="s">
        <v>16</v>
      </c>
      <c r="B135" t="s">
        <v>4226</v>
      </c>
      <c r="C135" t="s">
        <v>4227</v>
      </c>
      <c r="D135" t="s">
        <v>4205</v>
      </c>
      <c r="E135" t="s">
        <v>4250</v>
      </c>
      <c r="F135" t="s">
        <v>3917</v>
      </c>
      <c r="G135" t="s">
        <v>4251</v>
      </c>
    </row>
    <row r="136" spans="1:7" ht="11.25" customHeight="1">
      <c r="A136" s="310" t="s">
        <v>16</v>
      </c>
      <c r="B136" t="s">
        <v>4226</v>
      </c>
      <c r="C136" t="s">
        <v>4227</v>
      </c>
      <c r="D136" t="s">
        <v>4252</v>
      </c>
      <c r="E136" t="s">
        <v>4253</v>
      </c>
      <c r="F136" t="s">
        <v>3917</v>
      </c>
      <c r="G136" t="s">
        <v>4254</v>
      </c>
    </row>
    <row r="137" spans="1:7" ht="11.25" customHeight="1">
      <c r="A137" s="310" t="s">
        <v>16</v>
      </c>
      <c r="B137" t="s">
        <v>4226</v>
      </c>
      <c r="C137" t="s">
        <v>4227</v>
      </c>
      <c r="D137" t="s">
        <v>4255</v>
      </c>
      <c r="E137" t="s">
        <v>4256</v>
      </c>
      <c r="F137" t="s">
        <v>3917</v>
      </c>
      <c r="G137" t="s">
        <v>4257</v>
      </c>
    </row>
    <row r="138" spans="1:7" ht="11.25" customHeight="1">
      <c r="A138" s="310" t="s">
        <v>16</v>
      </c>
      <c r="B138" t="s">
        <v>4226</v>
      </c>
      <c r="C138" t="s">
        <v>4227</v>
      </c>
      <c r="D138" t="s">
        <v>3969</v>
      </c>
      <c r="E138" t="s">
        <v>4258</v>
      </c>
      <c r="F138" t="s">
        <v>3917</v>
      </c>
      <c r="G138" t="s">
        <v>4259</v>
      </c>
    </row>
    <row r="139" spans="1:7" ht="11.25" customHeight="1">
      <c r="A139" s="310" t="s">
        <v>16</v>
      </c>
      <c r="B139" t="s">
        <v>4226</v>
      </c>
      <c r="C139" t="s">
        <v>4227</v>
      </c>
      <c r="D139" t="s">
        <v>4260</v>
      </c>
      <c r="E139" t="s">
        <v>4261</v>
      </c>
      <c r="F139" t="s">
        <v>3917</v>
      </c>
      <c r="G139" t="s">
        <v>4262</v>
      </c>
    </row>
    <row r="140" spans="1:7" ht="11.25" customHeight="1">
      <c r="A140" s="310" t="s">
        <v>16</v>
      </c>
      <c r="B140" t="s">
        <v>4226</v>
      </c>
      <c r="C140" t="s">
        <v>4227</v>
      </c>
      <c r="D140" t="s">
        <v>4263</v>
      </c>
      <c r="E140" t="s">
        <v>4264</v>
      </c>
      <c r="F140" t="s">
        <v>3917</v>
      </c>
      <c r="G140" t="s">
        <v>4265</v>
      </c>
    </row>
    <row r="141" spans="1:7" ht="11.25" customHeight="1">
      <c r="A141" s="310" t="s">
        <v>16</v>
      </c>
      <c r="B141" t="s">
        <v>4266</v>
      </c>
      <c r="C141" t="s">
        <v>4267</v>
      </c>
      <c r="D141" t="s">
        <v>4268</v>
      </c>
      <c r="E141" t="s">
        <v>4269</v>
      </c>
      <c r="F141" t="s">
        <v>3917</v>
      </c>
      <c r="G141" t="s">
        <v>4270</v>
      </c>
    </row>
    <row r="142" spans="1:7" ht="11.25" customHeight="1">
      <c r="A142" s="310" t="s">
        <v>16</v>
      </c>
      <c r="B142" t="s">
        <v>4266</v>
      </c>
      <c r="C142" t="s">
        <v>4267</v>
      </c>
      <c r="D142" t="s">
        <v>4271</v>
      </c>
      <c r="E142" t="s">
        <v>4272</v>
      </c>
      <c r="F142" t="s">
        <v>3917</v>
      </c>
      <c r="G142" t="s">
        <v>4273</v>
      </c>
    </row>
    <row r="143" spans="1:7" ht="11.25" customHeight="1">
      <c r="A143" s="310" t="s">
        <v>16</v>
      </c>
      <c r="B143" t="s">
        <v>4266</v>
      </c>
      <c r="C143" t="s">
        <v>4267</v>
      </c>
      <c r="D143" t="s">
        <v>4148</v>
      </c>
      <c r="E143" t="s">
        <v>4274</v>
      </c>
      <c r="F143" t="s">
        <v>3917</v>
      </c>
      <c r="G143" t="s">
        <v>4275</v>
      </c>
    </row>
    <row r="144" spans="1:7" ht="11.25" customHeight="1">
      <c r="A144" s="310" t="s">
        <v>16</v>
      </c>
      <c r="B144" t="s">
        <v>4266</v>
      </c>
      <c r="C144" t="s">
        <v>4267</v>
      </c>
      <c r="D144" t="s">
        <v>4276</v>
      </c>
      <c r="E144" t="s">
        <v>4277</v>
      </c>
      <c r="F144" t="s">
        <v>3917</v>
      </c>
      <c r="G144" t="s">
        <v>4278</v>
      </c>
    </row>
    <row r="145" spans="1:7" ht="11.25" customHeight="1">
      <c r="A145" s="310" t="s">
        <v>16</v>
      </c>
      <c r="B145" t="s">
        <v>4266</v>
      </c>
      <c r="C145" t="s">
        <v>4267</v>
      </c>
      <c r="D145" t="s">
        <v>4279</v>
      </c>
      <c r="E145" t="s">
        <v>4280</v>
      </c>
      <c r="F145" t="s">
        <v>3917</v>
      </c>
      <c r="G145" t="s">
        <v>4281</v>
      </c>
    </row>
    <row r="146" spans="1:7" ht="11.25" customHeight="1">
      <c r="A146" s="310" t="s">
        <v>16</v>
      </c>
      <c r="B146" t="s">
        <v>4266</v>
      </c>
      <c r="C146" t="s">
        <v>4267</v>
      </c>
      <c r="D146" t="s">
        <v>4266</v>
      </c>
      <c r="E146" t="s">
        <v>4267</v>
      </c>
      <c r="F146" t="s">
        <v>3914</v>
      </c>
      <c r="G146" t="s">
        <v>4282</v>
      </c>
    </row>
    <row r="147" spans="1:7" ht="11.25" customHeight="1">
      <c r="A147" s="310" t="s">
        <v>16</v>
      </c>
      <c r="B147" t="s">
        <v>4266</v>
      </c>
      <c r="C147" t="s">
        <v>4267</v>
      </c>
      <c r="D147" t="s">
        <v>4283</v>
      </c>
      <c r="E147" t="s">
        <v>4284</v>
      </c>
      <c r="F147" t="s">
        <v>3917</v>
      </c>
      <c r="G147" t="s">
        <v>4285</v>
      </c>
    </row>
    <row r="148" spans="1:7" ht="11.25" customHeight="1">
      <c r="A148" s="310" t="s">
        <v>16</v>
      </c>
      <c r="B148" t="s">
        <v>4266</v>
      </c>
      <c r="C148" t="s">
        <v>4267</v>
      </c>
      <c r="D148" t="s">
        <v>4286</v>
      </c>
      <c r="E148" t="s">
        <v>4287</v>
      </c>
      <c r="F148" t="s">
        <v>3917</v>
      </c>
      <c r="G148" t="s">
        <v>4288</v>
      </c>
    </row>
    <row r="149" spans="1:7" ht="11.25" customHeight="1">
      <c r="A149" s="310" t="s">
        <v>16</v>
      </c>
      <c r="B149" t="s">
        <v>4266</v>
      </c>
      <c r="C149" t="s">
        <v>4267</v>
      </c>
      <c r="D149" t="s">
        <v>4289</v>
      </c>
      <c r="E149" t="s">
        <v>4290</v>
      </c>
      <c r="F149" t="s">
        <v>3917</v>
      </c>
      <c r="G149" t="s">
        <v>4291</v>
      </c>
    </row>
    <row r="150" spans="1:7" ht="11.25" customHeight="1">
      <c r="A150" s="310" t="s">
        <v>16</v>
      </c>
      <c r="B150" t="s">
        <v>4266</v>
      </c>
      <c r="C150" t="s">
        <v>4267</v>
      </c>
      <c r="D150" t="s">
        <v>4173</v>
      </c>
      <c r="E150" t="s">
        <v>4292</v>
      </c>
      <c r="F150" t="s">
        <v>3917</v>
      </c>
      <c r="G150" t="s">
        <v>4293</v>
      </c>
    </row>
    <row r="151" spans="1:7" ht="11.25" customHeight="1">
      <c r="A151" s="310" t="s">
        <v>16</v>
      </c>
      <c r="B151" t="s">
        <v>4266</v>
      </c>
      <c r="C151" t="s">
        <v>4267</v>
      </c>
      <c r="D151" t="s">
        <v>4294</v>
      </c>
      <c r="E151" t="s">
        <v>4295</v>
      </c>
      <c r="F151" t="s">
        <v>4083</v>
      </c>
      <c r="G151" t="s">
        <v>4296</v>
      </c>
    </row>
    <row r="152" spans="1:7" ht="11.25" customHeight="1">
      <c r="A152" s="310" t="s">
        <v>16</v>
      </c>
      <c r="B152" t="s">
        <v>4266</v>
      </c>
      <c r="C152" t="s">
        <v>4267</v>
      </c>
      <c r="D152" t="s">
        <v>4297</v>
      </c>
      <c r="E152" t="s">
        <v>4298</v>
      </c>
      <c r="F152" t="s">
        <v>3917</v>
      </c>
      <c r="G152" t="s">
        <v>4299</v>
      </c>
    </row>
    <row r="153" spans="1:7" ht="11.25" customHeight="1">
      <c r="A153" s="310" t="s">
        <v>16</v>
      </c>
      <c r="B153" t="s">
        <v>4266</v>
      </c>
      <c r="C153" t="s">
        <v>4267</v>
      </c>
      <c r="D153" t="s">
        <v>4300</v>
      </c>
      <c r="E153" t="s">
        <v>4301</v>
      </c>
      <c r="F153" t="s">
        <v>3917</v>
      </c>
      <c r="G153" t="s">
        <v>4302</v>
      </c>
    </row>
    <row r="154" spans="1:7" ht="11.25" customHeight="1">
      <c r="A154" s="310" t="s">
        <v>16</v>
      </c>
      <c r="B154" t="s">
        <v>4266</v>
      </c>
      <c r="C154" t="s">
        <v>4267</v>
      </c>
      <c r="D154" t="s">
        <v>4303</v>
      </c>
      <c r="E154" t="s">
        <v>4304</v>
      </c>
      <c r="F154" t="s">
        <v>3917</v>
      </c>
      <c r="G154" t="s">
        <v>4305</v>
      </c>
    </row>
    <row r="155" spans="1:7" ht="11.25" customHeight="1">
      <c r="A155" s="310" t="s">
        <v>16</v>
      </c>
      <c r="B155" t="s">
        <v>4266</v>
      </c>
      <c r="C155" t="s">
        <v>4267</v>
      </c>
      <c r="D155" t="s">
        <v>4306</v>
      </c>
      <c r="E155" t="s">
        <v>4307</v>
      </c>
      <c r="F155" t="s">
        <v>3917</v>
      </c>
      <c r="G155" t="s">
        <v>4308</v>
      </c>
    </row>
    <row r="156" spans="1:7" ht="11.25" customHeight="1">
      <c r="A156" s="310" t="s">
        <v>16</v>
      </c>
      <c r="B156" t="s">
        <v>4266</v>
      </c>
      <c r="C156" t="s">
        <v>4267</v>
      </c>
      <c r="D156" t="s">
        <v>4126</v>
      </c>
      <c r="E156" t="s">
        <v>4309</v>
      </c>
      <c r="F156" t="s">
        <v>3917</v>
      </c>
      <c r="G156" t="s">
        <v>4310</v>
      </c>
    </row>
    <row r="157" spans="1:7" ht="11.25" customHeight="1">
      <c r="A157" s="310" t="s">
        <v>16</v>
      </c>
      <c r="B157" t="s">
        <v>4266</v>
      </c>
      <c r="C157" t="s">
        <v>4267</v>
      </c>
      <c r="D157" t="s">
        <v>4129</v>
      </c>
      <c r="E157" t="s">
        <v>4311</v>
      </c>
      <c r="F157" t="s">
        <v>3917</v>
      </c>
      <c r="G157" t="s">
        <v>4312</v>
      </c>
    </row>
    <row r="158" spans="1:7" ht="11.25" customHeight="1">
      <c r="A158" s="310" t="s">
        <v>16</v>
      </c>
      <c r="B158" t="s">
        <v>4266</v>
      </c>
      <c r="C158" t="s">
        <v>4267</v>
      </c>
      <c r="D158" t="s">
        <v>4313</v>
      </c>
      <c r="E158" t="s">
        <v>4314</v>
      </c>
      <c r="F158" t="s">
        <v>3917</v>
      </c>
      <c r="G158" t="s">
        <v>4315</v>
      </c>
    </row>
    <row r="159" spans="1:7" ht="11.25" customHeight="1">
      <c r="A159" s="310" t="s">
        <v>16</v>
      </c>
      <c r="B159" t="s">
        <v>4266</v>
      </c>
      <c r="C159" t="s">
        <v>4267</v>
      </c>
      <c r="D159" t="s">
        <v>4316</v>
      </c>
      <c r="E159" t="s">
        <v>4317</v>
      </c>
      <c r="F159" t="s">
        <v>3917</v>
      </c>
      <c r="G159" t="s">
        <v>4318</v>
      </c>
    </row>
    <row r="160" spans="1:7" ht="11.25" customHeight="1">
      <c r="A160" s="310" t="s">
        <v>16</v>
      </c>
      <c r="B160" t="s">
        <v>4266</v>
      </c>
      <c r="C160" t="s">
        <v>4267</v>
      </c>
      <c r="D160" t="s">
        <v>4319</v>
      </c>
      <c r="E160" t="s">
        <v>4320</v>
      </c>
      <c r="F160" t="s">
        <v>3917</v>
      </c>
      <c r="G160" t="s">
        <v>4321</v>
      </c>
    </row>
    <row r="161" spans="1:7" ht="11.25" customHeight="1">
      <c r="A161" s="310" t="s">
        <v>16</v>
      </c>
      <c r="B161" t="s">
        <v>4322</v>
      </c>
      <c r="C161" t="s">
        <v>4323</v>
      </c>
      <c r="D161" t="s">
        <v>4324</v>
      </c>
      <c r="E161" t="s">
        <v>4325</v>
      </c>
      <c r="F161" t="s">
        <v>3917</v>
      </c>
      <c r="G161" t="s">
        <v>4326</v>
      </c>
    </row>
    <row r="162" spans="1:7" ht="11.25" customHeight="1">
      <c r="A162" s="310" t="s">
        <v>16</v>
      </c>
      <c r="B162" t="s">
        <v>4322</v>
      </c>
      <c r="C162" t="s">
        <v>4323</v>
      </c>
      <c r="D162" t="s">
        <v>4327</v>
      </c>
      <c r="E162" t="s">
        <v>4328</v>
      </c>
      <c r="F162" t="s">
        <v>3917</v>
      </c>
      <c r="G162" t="s">
        <v>4329</v>
      </c>
    </row>
    <row r="163" spans="1:7" ht="11.25" customHeight="1">
      <c r="A163" s="310" t="s">
        <v>16</v>
      </c>
      <c r="B163" t="s">
        <v>4322</v>
      </c>
      <c r="C163" t="s">
        <v>4323</v>
      </c>
      <c r="D163" t="s">
        <v>4330</v>
      </c>
      <c r="E163" t="s">
        <v>4331</v>
      </c>
      <c r="F163" t="s">
        <v>3917</v>
      </c>
      <c r="G163" t="s">
        <v>4332</v>
      </c>
    </row>
    <row r="164" spans="1:7" ht="11.25" customHeight="1">
      <c r="A164" s="310" t="s">
        <v>16</v>
      </c>
      <c r="B164" t="s">
        <v>4322</v>
      </c>
      <c r="C164" t="s">
        <v>4323</v>
      </c>
      <c r="D164" t="s">
        <v>4333</v>
      </c>
      <c r="E164" t="s">
        <v>4334</v>
      </c>
      <c r="F164" t="s">
        <v>3917</v>
      </c>
      <c r="G164" t="s">
        <v>4335</v>
      </c>
    </row>
    <row r="165" spans="1:7" ht="11.25" customHeight="1">
      <c r="A165" s="310" t="s">
        <v>16</v>
      </c>
      <c r="B165" t="s">
        <v>4322</v>
      </c>
      <c r="C165" t="s">
        <v>4323</v>
      </c>
      <c r="D165" t="s">
        <v>4244</v>
      </c>
      <c r="E165" t="s">
        <v>4336</v>
      </c>
      <c r="F165" t="s">
        <v>3917</v>
      </c>
      <c r="G165" t="s">
        <v>4337</v>
      </c>
    </row>
    <row r="166" spans="1:7" ht="11.25" customHeight="1">
      <c r="A166" s="310" t="s">
        <v>16</v>
      </c>
      <c r="B166" t="s">
        <v>4322</v>
      </c>
      <c r="C166" t="s">
        <v>4323</v>
      </c>
      <c r="D166" t="s">
        <v>4338</v>
      </c>
      <c r="E166" t="s">
        <v>4339</v>
      </c>
      <c r="F166" t="s">
        <v>3917</v>
      </c>
      <c r="G166" t="s">
        <v>4340</v>
      </c>
    </row>
    <row r="167" spans="1:7" ht="11.25" customHeight="1">
      <c r="A167" s="310" t="s">
        <v>16</v>
      </c>
      <c r="B167" t="s">
        <v>4322</v>
      </c>
      <c r="C167" t="s">
        <v>4323</v>
      </c>
      <c r="D167" t="s">
        <v>4322</v>
      </c>
      <c r="E167" t="s">
        <v>4323</v>
      </c>
      <c r="F167" t="s">
        <v>3914</v>
      </c>
      <c r="G167" t="s">
        <v>4341</v>
      </c>
    </row>
    <row r="168" spans="1:7" ht="11.25" customHeight="1">
      <c r="A168" s="310" t="s">
        <v>16</v>
      </c>
      <c r="B168" t="s">
        <v>4322</v>
      </c>
      <c r="C168" t="s">
        <v>4323</v>
      </c>
      <c r="D168" t="s">
        <v>4342</v>
      </c>
      <c r="E168" t="s">
        <v>4343</v>
      </c>
      <c r="F168" t="s">
        <v>3917</v>
      </c>
      <c r="G168" t="s">
        <v>4344</v>
      </c>
    </row>
    <row r="169" spans="1:7" ht="11.25" customHeight="1">
      <c r="A169" s="310" t="s">
        <v>16</v>
      </c>
      <c r="B169" t="s">
        <v>4322</v>
      </c>
      <c r="C169" t="s">
        <v>4323</v>
      </c>
      <c r="D169" t="s">
        <v>4345</v>
      </c>
      <c r="E169" t="s">
        <v>4346</v>
      </c>
      <c r="F169" t="s">
        <v>3917</v>
      </c>
      <c r="G169" t="s">
        <v>4347</v>
      </c>
    </row>
    <row r="170" spans="1:7" ht="11.25" customHeight="1">
      <c r="A170" s="310" t="s">
        <v>16</v>
      </c>
      <c r="B170" t="s">
        <v>4322</v>
      </c>
      <c r="C170" t="s">
        <v>4323</v>
      </c>
      <c r="D170" t="s">
        <v>4348</v>
      </c>
      <c r="E170" t="s">
        <v>4349</v>
      </c>
      <c r="F170" t="s">
        <v>3917</v>
      </c>
      <c r="G170" t="s">
        <v>4350</v>
      </c>
    </row>
    <row r="171" spans="1:7" ht="11.25" customHeight="1">
      <c r="A171" s="310" t="s">
        <v>16</v>
      </c>
      <c r="B171" t="s">
        <v>4322</v>
      </c>
      <c r="C171" t="s">
        <v>4323</v>
      </c>
      <c r="D171" t="s">
        <v>4351</v>
      </c>
      <c r="E171" t="s">
        <v>4352</v>
      </c>
      <c r="F171" t="s">
        <v>3917</v>
      </c>
      <c r="G171" t="s">
        <v>4353</v>
      </c>
    </row>
    <row r="172" spans="1:7" ht="11.25" customHeight="1">
      <c r="A172" s="310" t="s">
        <v>16</v>
      </c>
      <c r="B172" t="s">
        <v>4354</v>
      </c>
      <c r="C172" t="s">
        <v>4355</v>
      </c>
      <c r="D172" t="s">
        <v>4356</v>
      </c>
      <c r="E172" t="s">
        <v>4357</v>
      </c>
      <c r="F172" t="s">
        <v>3917</v>
      </c>
      <c r="G172" t="s">
        <v>4358</v>
      </c>
    </row>
    <row r="173" spans="1:7" ht="11.25" customHeight="1">
      <c r="A173" s="310" t="s">
        <v>16</v>
      </c>
      <c r="B173" t="s">
        <v>4354</v>
      </c>
      <c r="C173" t="s">
        <v>4355</v>
      </c>
      <c r="D173" t="s">
        <v>4359</v>
      </c>
      <c r="E173" t="s">
        <v>4360</v>
      </c>
      <c r="F173" t="s">
        <v>3917</v>
      </c>
      <c r="G173" t="s">
        <v>4361</v>
      </c>
    </row>
    <row r="174" spans="1:7" ht="11.25" customHeight="1">
      <c r="A174" s="310" t="s">
        <v>16</v>
      </c>
      <c r="B174" t="s">
        <v>4354</v>
      </c>
      <c r="C174" t="s">
        <v>4355</v>
      </c>
      <c r="D174" t="s">
        <v>4362</v>
      </c>
      <c r="E174" t="s">
        <v>4363</v>
      </c>
      <c r="F174" t="s">
        <v>3917</v>
      </c>
      <c r="G174" t="s">
        <v>4364</v>
      </c>
    </row>
    <row r="175" spans="1:7" ht="11.25" customHeight="1">
      <c r="A175" s="310" t="s">
        <v>16</v>
      </c>
      <c r="B175" t="s">
        <v>4354</v>
      </c>
      <c r="C175" t="s">
        <v>4355</v>
      </c>
      <c r="D175" t="s">
        <v>4365</v>
      </c>
      <c r="E175" t="s">
        <v>4366</v>
      </c>
      <c r="F175" t="s">
        <v>3917</v>
      </c>
      <c r="G175" t="s">
        <v>4367</v>
      </c>
    </row>
    <row r="176" spans="1:7" ht="11.25" customHeight="1">
      <c r="A176" s="310" t="s">
        <v>16</v>
      </c>
      <c r="B176" t="s">
        <v>4354</v>
      </c>
      <c r="C176" t="s">
        <v>4355</v>
      </c>
      <c r="D176" t="s">
        <v>4354</v>
      </c>
      <c r="E176" t="s">
        <v>4355</v>
      </c>
      <c r="F176" t="s">
        <v>3914</v>
      </c>
      <c r="G176" t="s">
        <v>4368</v>
      </c>
    </row>
    <row r="177" spans="1:7" ht="11.25" customHeight="1">
      <c r="A177" s="310" t="s">
        <v>16</v>
      </c>
      <c r="B177" t="s">
        <v>4354</v>
      </c>
      <c r="C177" t="s">
        <v>4355</v>
      </c>
      <c r="D177" t="s">
        <v>4369</v>
      </c>
      <c r="E177" t="s">
        <v>4370</v>
      </c>
      <c r="F177" t="s">
        <v>3917</v>
      </c>
      <c r="G177" t="s">
        <v>4371</v>
      </c>
    </row>
    <row r="178" spans="1:7" ht="11.25" customHeight="1">
      <c r="A178" s="310" t="s">
        <v>16</v>
      </c>
      <c r="B178" t="s">
        <v>4354</v>
      </c>
      <c r="C178" t="s">
        <v>4355</v>
      </c>
      <c r="D178" t="s">
        <v>4372</v>
      </c>
      <c r="E178" t="s">
        <v>4373</v>
      </c>
      <c r="F178" t="s">
        <v>3917</v>
      </c>
      <c r="G178" t="s">
        <v>4374</v>
      </c>
    </row>
    <row r="179" spans="1:7" ht="11.25" customHeight="1">
      <c r="A179" s="310" t="s">
        <v>16</v>
      </c>
      <c r="B179" t="s">
        <v>4354</v>
      </c>
      <c r="C179" t="s">
        <v>4355</v>
      </c>
      <c r="D179" t="s">
        <v>4375</v>
      </c>
      <c r="E179" t="s">
        <v>4376</v>
      </c>
      <c r="F179" t="s">
        <v>3917</v>
      </c>
      <c r="G179" t="s">
        <v>4377</v>
      </c>
    </row>
    <row r="180" spans="1:7" ht="11.25" customHeight="1">
      <c r="A180" s="310" t="s">
        <v>16</v>
      </c>
      <c r="B180" t="s">
        <v>4354</v>
      </c>
      <c r="C180" t="s">
        <v>4355</v>
      </c>
      <c r="D180" t="s">
        <v>4378</v>
      </c>
      <c r="E180" t="s">
        <v>4379</v>
      </c>
      <c r="F180" t="s">
        <v>3917</v>
      </c>
      <c r="G180" t="s">
        <v>4380</v>
      </c>
    </row>
    <row r="181" spans="1:7" ht="11.25" customHeight="1">
      <c r="A181" s="310" t="s">
        <v>16</v>
      </c>
      <c r="B181" t="s">
        <v>4354</v>
      </c>
      <c r="C181" t="s">
        <v>4355</v>
      </c>
      <c r="D181" t="s">
        <v>4381</v>
      </c>
      <c r="E181" t="s">
        <v>4382</v>
      </c>
      <c r="F181" t="s">
        <v>3917</v>
      </c>
      <c r="G181" t="s">
        <v>4383</v>
      </c>
    </row>
    <row r="182" spans="1:7" ht="11.25" customHeight="1">
      <c r="A182" s="310" t="s">
        <v>16</v>
      </c>
      <c r="B182" t="s">
        <v>4354</v>
      </c>
      <c r="C182" t="s">
        <v>4355</v>
      </c>
      <c r="D182" t="s">
        <v>4384</v>
      </c>
      <c r="E182" t="s">
        <v>4385</v>
      </c>
      <c r="F182" t="s">
        <v>3917</v>
      </c>
      <c r="G182" t="s">
        <v>4386</v>
      </c>
    </row>
    <row r="183" spans="1:7" ht="11.25" customHeight="1">
      <c r="A183" s="310" t="s">
        <v>16</v>
      </c>
      <c r="B183" t="s">
        <v>4387</v>
      </c>
      <c r="C183" t="s">
        <v>4388</v>
      </c>
      <c r="D183" t="s">
        <v>4389</v>
      </c>
      <c r="E183" t="s">
        <v>4390</v>
      </c>
      <c r="F183" t="s">
        <v>3917</v>
      </c>
      <c r="G183" t="s">
        <v>4391</v>
      </c>
    </row>
    <row r="184" spans="1:7" ht="11.25" customHeight="1">
      <c r="A184" s="310" t="s">
        <v>16</v>
      </c>
      <c r="B184" t="s">
        <v>4387</v>
      </c>
      <c r="C184" t="s">
        <v>4388</v>
      </c>
      <c r="D184" t="s">
        <v>4392</v>
      </c>
      <c r="E184" t="s">
        <v>4393</v>
      </c>
      <c r="F184" t="s">
        <v>3917</v>
      </c>
      <c r="G184" t="s">
        <v>4394</v>
      </c>
    </row>
    <row r="185" spans="1:7" ht="11.25" customHeight="1">
      <c r="A185" s="310" t="s">
        <v>16</v>
      </c>
      <c r="B185" t="s">
        <v>4387</v>
      </c>
      <c r="C185" t="s">
        <v>4388</v>
      </c>
      <c r="D185" t="s">
        <v>4395</v>
      </c>
      <c r="E185" t="s">
        <v>4396</v>
      </c>
      <c r="F185" t="s">
        <v>3917</v>
      </c>
      <c r="G185" t="s">
        <v>4397</v>
      </c>
    </row>
    <row r="186" spans="1:7" ht="11.25" customHeight="1">
      <c r="A186" s="310" t="s">
        <v>16</v>
      </c>
      <c r="B186" t="s">
        <v>4387</v>
      </c>
      <c r="C186" t="s">
        <v>4388</v>
      </c>
      <c r="D186" t="s">
        <v>4362</v>
      </c>
      <c r="E186" t="s">
        <v>4398</v>
      </c>
      <c r="F186" t="s">
        <v>3917</v>
      </c>
      <c r="G186" t="s">
        <v>4399</v>
      </c>
    </row>
    <row r="187" spans="1:7" ht="11.25" customHeight="1">
      <c r="A187" s="310" t="s">
        <v>16</v>
      </c>
      <c r="B187" t="s">
        <v>4387</v>
      </c>
      <c r="C187" t="s">
        <v>4388</v>
      </c>
      <c r="D187" t="s">
        <v>4387</v>
      </c>
      <c r="E187" t="s">
        <v>4388</v>
      </c>
      <c r="F187" t="s">
        <v>3914</v>
      </c>
      <c r="G187" t="s">
        <v>4400</v>
      </c>
    </row>
    <row r="188" spans="1:7" ht="11.25" customHeight="1">
      <c r="A188" s="310" t="s">
        <v>16</v>
      </c>
      <c r="B188" t="s">
        <v>4387</v>
      </c>
      <c r="C188" t="s">
        <v>4388</v>
      </c>
      <c r="D188" t="s">
        <v>4401</v>
      </c>
      <c r="E188" t="s">
        <v>4402</v>
      </c>
      <c r="F188" t="s">
        <v>4083</v>
      </c>
      <c r="G188" t="s">
        <v>4403</v>
      </c>
    </row>
    <row r="189" spans="1:7" ht="11.25" customHeight="1">
      <c r="A189" s="310" t="s">
        <v>16</v>
      </c>
      <c r="B189" t="s">
        <v>4387</v>
      </c>
      <c r="C189" t="s">
        <v>4388</v>
      </c>
      <c r="D189" t="s">
        <v>4404</v>
      </c>
      <c r="E189" t="s">
        <v>4405</v>
      </c>
      <c r="F189" t="s">
        <v>3917</v>
      </c>
      <c r="G189" t="s">
        <v>4406</v>
      </c>
    </row>
    <row r="190" spans="1:7" ht="11.25" customHeight="1">
      <c r="A190" s="310" t="s">
        <v>16</v>
      </c>
      <c r="B190" t="s">
        <v>4387</v>
      </c>
      <c r="C190" t="s">
        <v>4388</v>
      </c>
      <c r="D190" t="s">
        <v>4158</v>
      </c>
      <c r="E190" t="s">
        <v>4407</v>
      </c>
      <c r="F190" t="s">
        <v>3917</v>
      </c>
      <c r="G190" t="s">
        <v>4408</v>
      </c>
    </row>
    <row r="191" spans="1:7" ht="11.25" customHeight="1">
      <c r="A191" s="310" t="s">
        <v>16</v>
      </c>
      <c r="B191" t="s">
        <v>4387</v>
      </c>
      <c r="C191" t="s">
        <v>4388</v>
      </c>
      <c r="D191" t="s">
        <v>4409</v>
      </c>
      <c r="E191" t="s">
        <v>4410</v>
      </c>
      <c r="F191" t="s">
        <v>3917</v>
      </c>
      <c r="G191" t="s">
        <v>4411</v>
      </c>
    </row>
    <row r="192" spans="1:7" ht="11.25" customHeight="1">
      <c r="A192" s="310" t="s">
        <v>16</v>
      </c>
      <c r="B192" t="s">
        <v>4387</v>
      </c>
      <c r="C192" t="s">
        <v>4388</v>
      </c>
      <c r="D192" t="s">
        <v>4412</v>
      </c>
      <c r="E192" t="s">
        <v>4413</v>
      </c>
      <c r="F192" t="s">
        <v>3917</v>
      </c>
      <c r="G192" t="s">
        <v>4414</v>
      </c>
    </row>
    <row r="193" spans="1:7" ht="11.25" customHeight="1">
      <c r="A193" s="310" t="s">
        <v>16</v>
      </c>
      <c r="B193" t="s">
        <v>4387</v>
      </c>
      <c r="C193" t="s">
        <v>4388</v>
      </c>
      <c r="D193" t="s">
        <v>4415</v>
      </c>
      <c r="E193" t="s">
        <v>4416</v>
      </c>
      <c r="F193" t="s">
        <v>3917</v>
      </c>
      <c r="G193" t="s">
        <v>4417</v>
      </c>
    </row>
    <row r="194" spans="1:7" ht="11.25" customHeight="1">
      <c r="A194" s="310" t="s">
        <v>16</v>
      </c>
      <c r="B194" t="s">
        <v>4387</v>
      </c>
      <c r="C194" t="s">
        <v>4388</v>
      </c>
      <c r="D194" t="s">
        <v>4418</v>
      </c>
      <c r="E194" t="s">
        <v>4419</v>
      </c>
      <c r="F194" t="s">
        <v>3917</v>
      </c>
      <c r="G194" t="s">
        <v>4420</v>
      </c>
    </row>
    <row r="195" spans="1:7" ht="11.25" customHeight="1">
      <c r="A195" s="310" t="s">
        <v>16</v>
      </c>
      <c r="B195" t="s">
        <v>4387</v>
      </c>
      <c r="C195" t="s">
        <v>4388</v>
      </c>
      <c r="D195" t="s">
        <v>4421</v>
      </c>
      <c r="E195" t="s">
        <v>4422</v>
      </c>
      <c r="F195" t="s">
        <v>3917</v>
      </c>
      <c r="G195" t="s">
        <v>4423</v>
      </c>
    </row>
    <row r="196" spans="1:7" ht="11.25" customHeight="1">
      <c r="A196" s="310" t="s">
        <v>16</v>
      </c>
      <c r="B196" t="s">
        <v>4387</v>
      </c>
      <c r="C196" t="s">
        <v>4388</v>
      </c>
      <c r="D196" t="s">
        <v>4424</v>
      </c>
      <c r="E196" t="s">
        <v>4425</v>
      </c>
      <c r="F196" t="s">
        <v>3917</v>
      </c>
      <c r="G196" t="s">
        <v>4426</v>
      </c>
    </row>
    <row r="197" spans="1:7" ht="11.25" customHeight="1">
      <c r="A197" s="310" t="s">
        <v>16</v>
      </c>
      <c r="B197" t="s">
        <v>4387</v>
      </c>
      <c r="C197" t="s">
        <v>4388</v>
      </c>
      <c r="D197" t="s">
        <v>4427</v>
      </c>
      <c r="E197" t="s">
        <v>4428</v>
      </c>
      <c r="F197" t="s">
        <v>3917</v>
      </c>
      <c r="G197" t="s">
        <v>4429</v>
      </c>
    </row>
    <row r="198" spans="1:7" ht="11.25" customHeight="1">
      <c r="A198" s="310" t="s">
        <v>16</v>
      </c>
      <c r="B198" t="s">
        <v>4387</v>
      </c>
      <c r="C198" t="s">
        <v>4388</v>
      </c>
      <c r="D198" t="s">
        <v>4430</v>
      </c>
      <c r="E198" t="s">
        <v>4431</v>
      </c>
      <c r="F198" t="s">
        <v>3917</v>
      </c>
      <c r="G198" t="s">
        <v>4432</v>
      </c>
    </row>
    <row r="199" spans="1:7" ht="11.25" customHeight="1">
      <c r="A199" s="310" t="s">
        <v>16</v>
      </c>
      <c r="B199" t="s">
        <v>4387</v>
      </c>
      <c r="C199" t="s">
        <v>4388</v>
      </c>
      <c r="D199" t="s">
        <v>4433</v>
      </c>
      <c r="E199" t="s">
        <v>4434</v>
      </c>
      <c r="F199" t="s">
        <v>3917</v>
      </c>
      <c r="G199" t="s">
        <v>4435</v>
      </c>
    </row>
    <row r="200" spans="1:7" ht="11.25" customHeight="1">
      <c r="A200" s="310" t="s">
        <v>16</v>
      </c>
      <c r="B200" t="s">
        <v>4436</v>
      </c>
      <c r="C200" t="s">
        <v>4437</v>
      </c>
      <c r="D200" t="s">
        <v>4438</v>
      </c>
      <c r="E200" t="s">
        <v>4439</v>
      </c>
      <c r="F200" t="s">
        <v>3917</v>
      </c>
      <c r="G200" t="s">
        <v>4440</v>
      </c>
    </row>
    <row r="201" spans="1:7" ht="11.25" customHeight="1">
      <c r="A201" s="310" t="s">
        <v>16</v>
      </c>
      <c r="B201" t="s">
        <v>4436</v>
      </c>
      <c r="C201" t="s">
        <v>4437</v>
      </c>
      <c r="D201" t="s">
        <v>4441</v>
      </c>
      <c r="E201" t="s">
        <v>4442</v>
      </c>
      <c r="F201" t="s">
        <v>3917</v>
      </c>
      <c r="G201" t="s">
        <v>4443</v>
      </c>
    </row>
    <row r="202" spans="1:7" ht="11.25" customHeight="1">
      <c r="A202" s="310" t="s">
        <v>16</v>
      </c>
      <c r="B202" t="s">
        <v>4436</v>
      </c>
      <c r="C202" t="s">
        <v>4437</v>
      </c>
      <c r="D202" t="s">
        <v>4436</v>
      </c>
      <c r="E202" t="s">
        <v>4437</v>
      </c>
      <c r="F202" t="s">
        <v>3914</v>
      </c>
      <c r="G202" t="s">
        <v>4444</v>
      </c>
    </row>
    <row r="203" spans="1:7" ht="11.25" customHeight="1">
      <c r="A203" s="310" t="s">
        <v>16</v>
      </c>
      <c r="B203" t="s">
        <v>4436</v>
      </c>
      <c r="C203" t="s">
        <v>4437</v>
      </c>
      <c r="D203" t="s">
        <v>4445</v>
      </c>
      <c r="E203" t="s">
        <v>4446</v>
      </c>
      <c r="F203" t="s">
        <v>3917</v>
      </c>
      <c r="G203" t="s">
        <v>4447</v>
      </c>
    </row>
    <row r="204" spans="1:7" ht="11.25" customHeight="1">
      <c r="A204" s="310" t="s">
        <v>16</v>
      </c>
      <c r="B204" t="s">
        <v>4436</v>
      </c>
      <c r="C204" t="s">
        <v>4437</v>
      </c>
      <c r="D204" t="s">
        <v>4448</v>
      </c>
      <c r="E204" t="s">
        <v>4449</v>
      </c>
      <c r="F204" t="s">
        <v>3917</v>
      </c>
      <c r="G204" t="s">
        <v>4450</v>
      </c>
    </row>
    <row r="205" spans="1:7" ht="11.25" customHeight="1">
      <c r="A205" s="310" t="s">
        <v>16</v>
      </c>
      <c r="B205" t="s">
        <v>4436</v>
      </c>
      <c r="C205" t="s">
        <v>4437</v>
      </c>
      <c r="D205" t="s">
        <v>4451</v>
      </c>
      <c r="E205" t="s">
        <v>4452</v>
      </c>
      <c r="F205" t="s">
        <v>3917</v>
      </c>
      <c r="G205" t="s">
        <v>4453</v>
      </c>
    </row>
    <row r="206" spans="1:7" ht="11.25" customHeight="1">
      <c r="A206" s="310" t="s">
        <v>16</v>
      </c>
      <c r="B206" t="s">
        <v>4436</v>
      </c>
      <c r="C206" t="s">
        <v>4437</v>
      </c>
      <c r="D206" t="s">
        <v>4454</v>
      </c>
      <c r="E206" t="s">
        <v>4455</v>
      </c>
      <c r="F206" t="s">
        <v>3917</v>
      </c>
      <c r="G206" t="s">
        <v>4456</v>
      </c>
    </row>
    <row r="207" spans="1:7" ht="11.25" customHeight="1">
      <c r="A207" s="310" t="s">
        <v>16</v>
      </c>
      <c r="B207" t="s">
        <v>4436</v>
      </c>
      <c r="C207" t="s">
        <v>4437</v>
      </c>
      <c r="D207" t="s">
        <v>4457</v>
      </c>
      <c r="E207" t="s">
        <v>4458</v>
      </c>
      <c r="F207" t="s">
        <v>3917</v>
      </c>
      <c r="G207" t="s">
        <v>4459</v>
      </c>
    </row>
    <row r="208" spans="1:7" ht="11.25" customHeight="1">
      <c r="A208" s="310" t="s">
        <v>16</v>
      </c>
      <c r="B208" t="s">
        <v>4436</v>
      </c>
      <c r="C208" t="s">
        <v>4437</v>
      </c>
      <c r="D208" t="s">
        <v>4460</v>
      </c>
      <c r="E208" t="s">
        <v>4461</v>
      </c>
      <c r="F208" t="s">
        <v>3917</v>
      </c>
      <c r="G208" t="s">
        <v>4462</v>
      </c>
    </row>
    <row r="209" spans="1:7" ht="11.25" customHeight="1">
      <c r="A209" s="310" t="s">
        <v>16</v>
      </c>
      <c r="B209" t="s">
        <v>4436</v>
      </c>
      <c r="C209" t="s">
        <v>4437</v>
      </c>
      <c r="D209" t="s">
        <v>4463</v>
      </c>
      <c r="E209" t="s">
        <v>4464</v>
      </c>
      <c r="F209" t="s">
        <v>4083</v>
      </c>
      <c r="G209" t="s">
        <v>4465</v>
      </c>
    </row>
    <row r="210" spans="1:7" ht="11.25" customHeight="1">
      <c r="A210" s="310" t="s">
        <v>16</v>
      </c>
      <c r="B210" t="s">
        <v>4466</v>
      </c>
      <c r="C210" t="s">
        <v>4467</v>
      </c>
      <c r="D210" t="s">
        <v>4271</v>
      </c>
      <c r="E210" t="s">
        <v>4468</v>
      </c>
      <c r="F210" t="s">
        <v>3917</v>
      </c>
      <c r="G210" t="s">
        <v>4469</v>
      </c>
    </row>
    <row r="211" spans="1:7" ht="11.25" customHeight="1">
      <c r="A211" s="310" t="s">
        <v>16</v>
      </c>
      <c r="B211" t="s">
        <v>4466</v>
      </c>
      <c r="C211" t="s">
        <v>4467</v>
      </c>
      <c r="D211" t="s">
        <v>4470</v>
      </c>
      <c r="E211" t="s">
        <v>4471</v>
      </c>
      <c r="F211" t="s">
        <v>3917</v>
      </c>
      <c r="G211" t="s">
        <v>4472</v>
      </c>
    </row>
    <row r="212" spans="1:7" ht="11.25" customHeight="1">
      <c r="A212" s="310" t="s">
        <v>16</v>
      </c>
      <c r="B212" t="s">
        <v>4466</v>
      </c>
      <c r="C212" t="s">
        <v>4467</v>
      </c>
      <c r="D212" t="s">
        <v>4473</v>
      </c>
      <c r="E212" t="s">
        <v>4474</v>
      </c>
      <c r="F212" t="s">
        <v>3917</v>
      </c>
      <c r="G212" t="s">
        <v>4475</v>
      </c>
    </row>
    <row r="213" spans="1:7" ht="11.25" customHeight="1">
      <c r="A213" s="310" t="s">
        <v>16</v>
      </c>
      <c r="B213" t="s">
        <v>4466</v>
      </c>
      <c r="C213" t="s">
        <v>4467</v>
      </c>
      <c r="D213" t="s">
        <v>4476</v>
      </c>
      <c r="E213" t="s">
        <v>4477</v>
      </c>
      <c r="F213" t="s">
        <v>3917</v>
      </c>
      <c r="G213" t="s">
        <v>4478</v>
      </c>
    </row>
    <row r="214" spans="1:7" ht="11.25" customHeight="1">
      <c r="A214" s="310" t="s">
        <v>16</v>
      </c>
      <c r="B214" t="s">
        <v>4466</v>
      </c>
      <c r="C214" t="s">
        <v>4467</v>
      </c>
      <c r="D214" t="s">
        <v>4466</v>
      </c>
      <c r="E214" t="s">
        <v>4467</v>
      </c>
      <c r="F214" t="s">
        <v>3914</v>
      </c>
      <c r="G214" t="s">
        <v>4479</v>
      </c>
    </row>
    <row r="215" spans="1:7" ht="11.25" customHeight="1">
      <c r="A215" s="310" t="s">
        <v>16</v>
      </c>
      <c r="B215" t="s">
        <v>4466</v>
      </c>
      <c r="C215" t="s">
        <v>4467</v>
      </c>
      <c r="D215" t="s">
        <v>4480</v>
      </c>
      <c r="E215" t="s">
        <v>4481</v>
      </c>
      <c r="F215" t="s">
        <v>3917</v>
      </c>
      <c r="G215" t="s">
        <v>4482</v>
      </c>
    </row>
    <row r="216" spans="1:7" ht="11.25" customHeight="1">
      <c r="A216" s="310" t="s">
        <v>16</v>
      </c>
      <c r="B216" t="s">
        <v>4466</v>
      </c>
      <c r="C216" t="s">
        <v>4467</v>
      </c>
      <c r="D216" t="s">
        <v>4483</v>
      </c>
      <c r="E216" t="s">
        <v>4484</v>
      </c>
      <c r="F216" t="s">
        <v>3917</v>
      </c>
      <c r="G216" t="s">
        <v>4485</v>
      </c>
    </row>
    <row r="217" spans="1:7" ht="11.25" customHeight="1">
      <c r="A217" s="310" t="s">
        <v>16</v>
      </c>
      <c r="B217" t="s">
        <v>4466</v>
      </c>
      <c r="C217" t="s">
        <v>4467</v>
      </c>
      <c r="D217" t="s">
        <v>4486</v>
      </c>
      <c r="E217" t="s">
        <v>4487</v>
      </c>
      <c r="F217" t="s">
        <v>3917</v>
      </c>
      <c r="G217" t="s">
        <v>4488</v>
      </c>
    </row>
    <row r="218" spans="1:7" ht="11.25" customHeight="1">
      <c r="A218" s="310" t="s">
        <v>16</v>
      </c>
      <c r="B218" t="s">
        <v>4466</v>
      </c>
      <c r="C218" t="s">
        <v>4467</v>
      </c>
      <c r="D218" t="s">
        <v>4489</v>
      </c>
      <c r="E218" t="s">
        <v>4490</v>
      </c>
      <c r="F218" t="s">
        <v>3917</v>
      </c>
      <c r="G218" t="s">
        <v>4491</v>
      </c>
    </row>
    <row r="219" spans="1:7" ht="11.25" customHeight="1">
      <c r="A219" s="310" t="s">
        <v>16</v>
      </c>
      <c r="B219" t="s">
        <v>4466</v>
      </c>
      <c r="C219" t="s">
        <v>4467</v>
      </c>
      <c r="D219" t="s">
        <v>4492</v>
      </c>
      <c r="E219" t="s">
        <v>4493</v>
      </c>
      <c r="F219" t="s">
        <v>3917</v>
      </c>
      <c r="G219" t="s">
        <v>4494</v>
      </c>
    </row>
    <row r="220" spans="1:7" ht="11.25" customHeight="1">
      <c r="A220" s="310" t="s">
        <v>16</v>
      </c>
      <c r="B220" t="s">
        <v>4495</v>
      </c>
      <c r="C220" t="s">
        <v>4496</v>
      </c>
      <c r="D220" t="s">
        <v>4497</v>
      </c>
      <c r="E220" t="s">
        <v>4498</v>
      </c>
      <c r="F220" t="s">
        <v>3917</v>
      </c>
      <c r="G220" t="s">
        <v>4499</v>
      </c>
    </row>
    <row r="221" spans="1:7" ht="11.25" customHeight="1">
      <c r="A221" s="310" t="s">
        <v>16</v>
      </c>
      <c r="B221" t="s">
        <v>4495</v>
      </c>
      <c r="C221" t="s">
        <v>4496</v>
      </c>
      <c r="D221" t="s">
        <v>4500</v>
      </c>
      <c r="E221" t="s">
        <v>4501</v>
      </c>
      <c r="F221" t="s">
        <v>3917</v>
      </c>
      <c r="G221" t="s">
        <v>4502</v>
      </c>
    </row>
    <row r="222" spans="1:7" ht="11.25" customHeight="1">
      <c r="A222" s="310" t="s">
        <v>16</v>
      </c>
      <c r="B222" t="s">
        <v>4495</v>
      </c>
      <c r="C222" t="s">
        <v>4496</v>
      </c>
      <c r="D222" t="s">
        <v>4503</v>
      </c>
      <c r="E222" t="s">
        <v>4504</v>
      </c>
      <c r="F222" t="s">
        <v>3917</v>
      </c>
      <c r="G222" t="s">
        <v>4505</v>
      </c>
    </row>
    <row r="223" spans="1:7" ht="11.25" customHeight="1">
      <c r="A223" s="310" t="s">
        <v>16</v>
      </c>
      <c r="B223" t="s">
        <v>4495</v>
      </c>
      <c r="C223" t="s">
        <v>4496</v>
      </c>
      <c r="D223" t="s">
        <v>4506</v>
      </c>
      <c r="E223" t="s">
        <v>4507</v>
      </c>
      <c r="F223" t="s">
        <v>3917</v>
      </c>
      <c r="G223" t="s">
        <v>4508</v>
      </c>
    </row>
    <row r="224" spans="1:7" ht="11.25" customHeight="1">
      <c r="A224" s="310" t="s">
        <v>16</v>
      </c>
      <c r="B224" t="s">
        <v>4495</v>
      </c>
      <c r="C224" t="s">
        <v>4496</v>
      </c>
      <c r="D224" t="s">
        <v>4509</v>
      </c>
      <c r="E224" t="s">
        <v>4510</v>
      </c>
      <c r="F224" t="s">
        <v>3917</v>
      </c>
      <c r="G224" t="s">
        <v>4511</v>
      </c>
    </row>
    <row r="225" spans="1:7" ht="11.25" customHeight="1">
      <c r="A225" s="310" t="s">
        <v>16</v>
      </c>
      <c r="B225" t="s">
        <v>4495</v>
      </c>
      <c r="C225" t="s">
        <v>4496</v>
      </c>
      <c r="D225" t="s">
        <v>4512</v>
      </c>
      <c r="E225" t="s">
        <v>4513</v>
      </c>
      <c r="F225" t="s">
        <v>3917</v>
      </c>
      <c r="G225" t="s">
        <v>4514</v>
      </c>
    </row>
    <row r="226" spans="1:7" ht="11.25" customHeight="1">
      <c r="A226" s="310" t="s">
        <v>16</v>
      </c>
      <c r="B226" t="s">
        <v>4495</v>
      </c>
      <c r="C226" t="s">
        <v>4496</v>
      </c>
      <c r="D226" t="s">
        <v>4495</v>
      </c>
      <c r="E226" t="s">
        <v>4496</v>
      </c>
      <c r="F226" t="s">
        <v>3914</v>
      </c>
      <c r="G226" t="s">
        <v>4515</v>
      </c>
    </row>
    <row r="227" spans="1:7" ht="11.25" customHeight="1">
      <c r="A227" s="310" t="s">
        <v>16</v>
      </c>
      <c r="B227" t="s">
        <v>4495</v>
      </c>
      <c r="C227" t="s">
        <v>4496</v>
      </c>
      <c r="D227" t="s">
        <v>4516</v>
      </c>
      <c r="E227" t="s">
        <v>4517</v>
      </c>
      <c r="F227" t="s">
        <v>3917</v>
      </c>
      <c r="G227" t="s">
        <v>4518</v>
      </c>
    </row>
    <row r="228" spans="1:7" ht="11.25" customHeight="1">
      <c r="A228" s="310" t="s">
        <v>16</v>
      </c>
      <c r="B228" t="s">
        <v>4495</v>
      </c>
      <c r="C228" t="s">
        <v>4496</v>
      </c>
      <c r="D228" t="s">
        <v>4519</v>
      </c>
      <c r="E228" t="s">
        <v>4520</v>
      </c>
      <c r="F228" t="s">
        <v>3917</v>
      </c>
      <c r="G228" t="s">
        <v>4521</v>
      </c>
    </row>
    <row r="229" spans="1:7" ht="11.25" customHeight="1">
      <c r="A229" s="310" t="s">
        <v>16</v>
      </c>
      <c r="B229" t="s">
        <v>4495</v>
      </c>
      <c r="C229" t="s">
        <v>4496</v>
      </c>
      <c r="D229" t="s">
        <v>4522</v>
      </c>
      <c r="E229" t="s">
        <v>4523</v>
      </c>
      <c r="F229" t="s">
        <v>3917</v>
      </c>
      <c r="G229" t="s">
        <v>4524</v>
      </c>
    </row>
    <row r="230" spans="1:7" ht="11.25" customHeight="1">
      <c r="A230" s="310" t="s">
        <v>16</v>
      </c>
      <c r="B230" t="s">
        <v>4495</v>
      </c>
      <c r="C230" t="s">
        <v>4496</v>
      </c>
      <c r="D230" t="s">
        <v>4525</v>
      </c>
      <c r="E230" t="s">
        <v>4526</v>
      </c>
      <c r="F230" t="s">
        <v>3917</v>
      </c>
      <c r="G230" t="s">
        <v>4527</v>
      </c>
    </row>
    <row r="231" spans="1:7" ht="11.25" customHeight="1">
      <c r="A231" s="310" t="s">
        <v>16</v>
      </c>
      <c r="B231" t="s">
        <v>4495</v>
      </c>
      <c r="C231" t="s">
        <v>4496</v>
      </c>
      <c r="D231" t="s">
        <v>4528</v>
      </c>
      <c r="E231" t="s">
        <v>4529</v>
      </c>
      <c r="F231" t="s">
        <v>3917</v>
      </c>
      <c r="G231" t="s">
        <v>4530</v>
      </c>
    </row>
    <row r="232" spans="1:7" ht="11.25" customHeight="1">
      <c r="A232" s="310" t="s">
        <v>16</v>
      </c>
      <c r="B232" t="s">
        <v>4495</v>
      </c>
      <c r="C232" t="s">
        <v>4496</v>
      </c>
      <c r="D232" t="s">
        <v>4531</v>
      </c>
      <c r="E232" t="s">
        <v>4532</v>
      </c>
      <c r="F232" t="s">
        <v>3917</v>
      </c>
      <c r="G232" t="s">
        <v>4533</v>
      </c>
    </row>
    <row r="233" spans="1:7" ht="11.25" customHeight="1">
      <c r="A233" s="310" t="s">
        <v>16</v>
      </c>
      <c r="B233" t="s">
        <v>4495</v>
      </c>
      <c r="C233" t="s">
        <v>4496</v>
      </c>
      <c r="D233" t="s">
        <v>4534</v>
      </c>
      <c r="E233" t="s">
        <v>4535</v>
      </c>
      <c r="F233" t="s">
        <v>4083</v>
      </c>
      <c r="G233" t="s">
        <v>4536</v>
      </c>
    </row>
    <row r="234" spans="1:7" ht="11.25" customHeight="1">
      <c r="A234" s="310" t="s">
        <v>16</v>
      </c>
      <c r="B234" t="s">
        <v>4537</v>
      </c>
      <c r="C234" t="s">
        <v>4538</v>
      </c>
      <c r="D234" t="s">
        <v>4539</v>
      </c>
      <c r="E234" t="s">
        <v>4540</v>
      </c>
      <c r="F234" t="s">
        <v>3917</v>
      </c>
      <c r="G234" t="s">
        <v>4541</v>
      </c>
    </row>
    <row r="235" spans="1:7" ht="11.25" customHeight="1">
      <c r="A235" s="310" t="s">
        <v>16</v>
      </c>
      <c r="B235" t="s">
        <v>4537</v>
      </c>
      <c r="C235" t="s">
        <v>4538</v>
      </c>
      <c r="D235" t="s">
        <v>4542</v>
      </c>
      <c r="E235" t="s">
        <v>4543</v>
      </c>
      <c r="F235" t="s">
        <v>3917</v>
      </c>
      <c r="G235" t="s">
        <v>4544</v>
      </c>
    </row>
    <row r="236" spans="1:7" ht="11.25" customHeight="1">
      <c r="A236" s="310" t="s">
        <v>16</v>
      </c>
      <c r="B236" t="s">
        <v>4537</v>
      </c>
      <c r="C236" t="s">
        <v>4538</v>
      </c>
      <c r="D236" t="s">
        <v>4545</v>
      </c>
      <c r="E236" t="s">
        <v>4546</v>
      </c>
      <c r="F236" t="s">
        <v>3917</v>
      </c>
      <c r="G236" t="s">
        <v>4547</v>
      </c>
    </row>
    <row r="237" spans="1:7" ht="11.25" customHeight="1">
      <c r="A237" s="310" t="s">
        <v>16</v>
      </c>
      <c r="B237" t="s">
        <v>4537</v>
      </c>
      <c r="C237" t="s">
        <v>4538</v>
      </c>
      <c r="D237" t="s">
        <v>4548</v>
      </c>
      <c r="E237" t="s">
        <v>4549</v>
      </c>
      <c r="F237" t="s">
        <v>3917</v>
      </c>
      <c r="G237" t="s">
        <v>4550</v>
      </c>
    </row>
    <row r="238" spans="1:7" ht="11.25" customHeight="1">
      <c r="A238" s="310" t="s">
        <v>16</v>
      </c>
      <c r="B238" t="s">
        <v>4537</v>
      </c>
      <c r="C238" t="s">
        <v>4538</v>
      </c>
      <c r="D238" t="s">
        <v>4551</v>
      </c>
      <c r="E238" t="s">
        <v>4552</v>
      </c>
      <c r="F238" t="s">
        <v>3917</v>
      </c>
      <c r="G238" t="s">
        <v>4553</v>
      </c>
    </row>
    <row r="239" spans="1:7" ht="11.25" customHeight="1">
      <c r="A239" s="310" t="s">
        <v>16</v>
      </c>
      <c r="B239" t="s">
        <v>4537</v>
      </c>
      <c r="C239" t="s">
        <v>4538</v>
      </c>
      <c r="D239" t="s">
        <v>4554</v>
      </c>
      <c r="E239" t="s">
        <v>4555</v>
      </c>
      <c r="F239" t="s">
        <v>3917</v>
      </c>
      <c r="G239" t="s">
        <v>4556</v>
      </c>
    </row>
    <row r="240" spans="1:7" ht="11.25" customHeight="1">
      <c r="A240" s="310" t="s">
        <v>16</v>
      </c>
      <c r="B240" t="s">
        <v>4537</v>
      </c>
      <c r="C240" t="s">
        <v>4538</v>
      </c>
      <c r="D240" t="s">
        <v>4537</v>
      </c>
      <c r="E240" t="s">
        <v>4538</v>
      </c>
      <c r="F240" t="s">
        <v>3914</v>
      </c>
      <c r="G240" t="s">
        <v>4557</v>
      </c>
    </row>
    <row r="241" spans="1:7" ht="11.25" customHeight="1">
      <c r="A241" s="310" t="s">
        <v>16</v>
      </c>
      <c r="B241" t="s">
        <v>4537</v>
      </c>
      <c r="C241" t="s">
        <v>4538</v>
      </c>
      <c r="D241" t="s">
        <v>4558</v>
      </c>
      <c r="E241" t="s">
        <v>4559</v>
      </c>
      <c r="F241" t="s">
        <v>3917</v>
      </c>
      <c r="G241" t="s">
        <v>4560</v>
      </c>
    </row>
    <row r="242" spans="1:7" ht="11.25" customHeight="1">
      <c r="A242" s="310" t="s">
        <v>16</v>
      </c>
      <c r="B242" t="s">
        <v>4537</v>
      </c>
      <c r="C242" t="s">
        <v>4538</v>
      </c>
      <c r="D242" t="s">
        <v>4561</v>
      </c>
      <c r="E242" t="s">
        <v>4562</v>
      </c>
      <c r="F242" t="s">
        <v>3917</v>
      </c>
      <c r="G242" t="s">
        <v>4563</v>
      </c>
    </row>
    <row r="243" spans="1:7" ht="11.25" customHeight="1">
      <c r="A243" s="310" t="s">
        <v>16</v>
      </c>
      <c r="B243" t="s">
        <v>4537</v>
      </c>
      <c r="C243" t="s">
        <v>4538</v>
      </c>
      <c r="D243" t="s">
        <v>4564</v>
      </c>
      <c r="E243" t="s">
        <v>4565</v>
      </c>
      <c r="F243" t="s">
        <v>3917</v>
      </c>
      <c r="G243" t="s">
        <v>4566</v>
      </c>
    </row>
    <row r="244" spans="1:7" ht="11.25" customHeight="1">
      <c r="A244" s="310" t="s">
        <v>16</v>
      </c>
      <c r="B244" t="s">
        <v>4537</v>
      </c>
      <c r="C244" t="s">
        <v>4538</v>
      </c>
      <c r="D244" t="s">
        <v>4567</v>
      </c>
      <c r="E244" t="s">
        <v>4568</v>
      </c>
      <c r="F244" t="s">
        <v>3917</v>
      </c>
      <c r="G244" t="s">
        <v>4569</v>
      </c>
    </row>
    <row r="245" spans="1:7" ht="11.25" customHeight="1">
      <c r="A245" s="310" t="s">
        <v>16</v>
      </c>
      <c r="B245" t="s">
        <v>4537</v>
      </c>
      <c r="C245" t="s">
        <v>4538</v>
      </c>
      <c r="D245" t="s">
        <v>4570</v>
      </c>
      <c r="E245" t="s">
        <v>4571</v>
      </c>
      <c r="F245" t="s">
        <v>3917</v>
      </c>
      <c r="G245" t="s">
        <v>4572</v>
      </c>
    </row>
    <row r="246" spans="1:7" ht="11.25" customHeight="1">
      <c r="A246" s="310" t="s">
        <v>16</v>
      </c>
      <c r="B246" t="s">
        <v>4537</v>
      </c>
      <c r="C246" t="s">
        <v>4538</v>
      </c>
      <c r="D246" t="s">
        <v>4573</v>
      </c>
      <c r="E246" t="s">
        <v>4574</v>
      </c>
      <c r="F246" t="s">
        <v>3917</v>
      </c>
      <c r="G246" t="s">
        <v>4575</v>
      </c>
    </row>
    <row r="247" spans="1:7" ht="11.25" customHeight="1">
      <c r="A247" s="310" t="s">
        <v>16</v>
      </c>
      <c r="B247" t="s">
        <v>4537</v>
      </c>
      <c r="C247" t="s">
        <v>4538</v>
      </c>
      <c r="D247" t="s">
        <v>4576</v>
      </c>
      <c r="E247" t="s">
        <v>4577</v>
      </c>
      <c r="F247" t="s">
        <v>3917</v>
      </c>
      <c r="G247" t="s">
        <v>4578</v>
      </c>
    </row>
    <row r="248" spans="1:7" ht="11.25" customHeight="1">
      <c r="A248" s="310" t="s">
        <v>16</v>
      </c>
      <c r="B248" t="s">
        <v>4579</v>
      </c>
      <c r="C248" t="s">
        <v>4580</v>
      </c>
      <c r="D248" t="s">
        <v>4581</v>
      </c>
      <c r="E248" t="s">
        <v>4582</v>
      </c>
      <c r="F248" t="s">
        <v>3917</v>
      </c>
      <c r="G248" t="s">
        <v>4583</v>
      </c>
    </row>
    <row r="249" spans="1:7" ht="11.25" customHeight="1">
      <c r="A249" s="310" t="s">
        <v>16</v>
      </c>
      <c r="B249" t="s">
        <v>4579</v>
      </c>
      <c r="C249" t="s">
        <v>4580</v>
      </c>
      <c r="D249" t="s">
        <v>4584</v>
      </c>
      <c r="E249" t="s">
        <v>4585</v>
      </c>
      <c r="F249" t="s">
        <v>3917</v>
      </c>
      <c r="G249" t="s">
        <v>4586</v>
      </c>
    </row>
    <row r="250" spans="1:7" ht="11.25" customHeight="1">
      <c r="A250" s="310" t="s">
        <v>16</v>
      </c>
      <c r="B250" t="s">
        <v>4579</v>
      </c>
      <c r="C250" t="s">
        <v>4580</v>
      </c>
      <c r="D250" t="s">
        <v>4503</v>
      </c>
      <c r="E250" t="s">
        <v>4587</v>
      </c>
      <c r="F250" t="s">
        <v>3917</v>
      </c>
      <c r="G250" t="s">
        <v>4588</v>
      </c>
    </row>
    <row r="251" spans="1:7" ht="11.25" customHeight="1">
      <c r="A251" s="310" t="s">
        <v>16</v>
      </c>
      <c r="B251" t="s">
        <v>4579</v>
      </c>
      <c r="C251" t="s">
        <v>4580</v>
      </c>
      <c r="D251" t="s">
        <v>4589</v>
      </c>
      <c r="E251" t="s">
        <v>4590</v>
      </c>
      <c r="F251" t="s">
        <v>3917</v>
      </c>
      <c r="G251" t="s">
        <v>4591</v>
      </c>
    </row>
    <row r="252" spans="1:7" ht="11.25" customHeight="1">
      <c r="A252" s="310" t="s">
        <v>16</v>
      </c>
      <c r="B252" t="s">
        <v>4579</v>
      </c>
      <c r="C252" t="s">
        <v>4580</v>
      </c>
      <c r="D252" t="s">
        <v>4592</v>
      </c>
      <c r="E252" t="s">
        <v>4593</v>
      </c>
      <c r="F252" t="s">
        <v>3917</v>
      </c>
      <c r="G252" t="s">
        <v>4594</v>
      </c>
    </row>
    <row r="253" spans="1:7" ht="11.25" customHeight="1">
      <c r="A253" s="310" t="s">
        <v>16</v>
      </c>
      <c r="B253" t="s">
        <v>4579</v>
      </c>
      <c r="C253" t="s">
        <v>4580</v>
      </c>
      <c r="D253" t="s">
        <v>4579</v>
      </c>
      <c r="E253" t="s">
        <v>4580</v>
      </c>
      <c r="F253" t="s">
        <v>3914</v>
      </c>
      <c r="G253" t="s">
        <v>4595</v>
      </c>
    </row>
    <row r="254" spans="1:7" ht="11.25" customHeight="1">
      <c r="A254" s="310" t="s">
        <v>16</v>
      </c>
      <c r="B254" t="s">
        <v>4579</v>
      </c>
      <c r="C254" t="s">
        <v>4580</v>
      </c>
      <c r="D254" t="s">
        <v>4596</v>
      </c>
      <c r="E254" t="s">
        <v>4597</v>
      </c>
      <c r="F254" t="s">
        <v>3917</v>
      </c>
      <c r="G254" t="s">
        <v>4598</v>
      </c>
    </row>
    <row r="255" spans="1:7" ht="11.25" customHeight="1">
      <c r="A255" s="310" t="s">
        <v>16</v>
      </c>
      <c r="B255" t="s">
        <v>4579</v>
      </c>
      <c r="C255" t="s">
        <v>4580</v>
      </c>
      <c r="D255" t="s">
        <v>4599</v>
      </c>
      <c r="E255" t="s">
        <v>4600</v>
      </c>
      <c r="F255" t="s">
        <v>3917</v>
      </c>
      <c r="G255" t="s">
        <v>4601</v>
      </c>
    </row>
    <row r="256" spans="1:7" ht="11.25" customHeight="1">
      <c r="A256" s="310" t="s">
        <v>16</v>
      </c>
      <c r="B256" t="s">
        <v>4579</v>
      </c>
      <c r="C256" t="s">
        <v>4580</v>
      </c>
      <c r="D256" t="s">
        <v>4602</v>
      </c>
      <c r="E256" t="s">
        <v>4603</v>
      </c>
      <c r="F256" t="s">
        <v>3917</v>
      </c>
      <c r="G256" t="s">
        <v>4604</v>
      </c>
    </row>
    <row r="257" spans="1:7" ht="11.25" customHeight="1">
      <c r="A257" s="310" t="s">
        <v>16</v>
      </c>
      <c r="B257" t="s">
        <v>4579</v>
      </c>
      <c r="C257" t="s">
        <v>4580</v>
      </c>
      <c r="D257" t="s">
        <v>4605</v>
      </c>
      <c r="E257" t="s">
        <v>4606</v>
      </c>
      <c r="F257" t="s">
        <v>3917</v>
      </c>
      <c r="G257" t="s">
        <v>4607</v>
      </c>
    </row>
    <row r="258" spans="1:7" ht="11.25" customHeight="1">
      <c r="A258" s="310" t="s">
        <v>16</v>
      </c>
      <c r="B258" t="s">
        <v>4579</v>
      </c>
      <c r="C258" t="s">
        <v>4580</v>
      </c>
      <c r="D258" t="s">
        <v>4608</v>
      </c>
      <c r="E258" t="s">
        <v>4609</v>
      </c>
      <c r="F258" t="s">
        <v>3917</v>
      </c>
      <c r="G258" t="s">
        <v>4610</v>
      </c>
    </row>
    <row r="259" spans="1:7" ht="11.25" customHeight="1">
      <c r="A259" s="310" t="s">
        <v>16</v>
      </c>
      <c r="B259" t="s">
        <v>4579</v>
      </c>
      <c r="C259" t="s">
        <v>4580</v>
      </c>
      <c r="D259" t="s">
        <v>4528</v>
      </c>
      <c r="E259" t="s">
        <v>4611</v>
      </c>
      <c r="F259" t="s">
        <v>3917</v>
      </c>
      <c r="G259" t="s">
        <v>4612</v>
      </c>
    </row>
    <row r="260" spans="1:7" ht="11.25" customHeight="1">
      <c r="A260" s="310" t="s">
        <v>16</v>
      </c>
      <c r="B260" t="s">
        <v>4579</v>
      </c>
      <c r="C260" t="s">
        <v>4580</v>
      </c>
      <c r="D260" t="s">
        <v>4613</v>
      </c>
      <c r="E260" t="s">
        <v>4614</v>
      </c>
      <c r="F260" t="s">
        <v>4083</v>
      </c>
      <c r="G260" t="s">
        <v>4615</v>
      </c>
    </row>
    <row r="261" spans="1:7" ht="11.25" customHeight="1">
      <c r="A261" s="310" t="s">
        <v>16</v>
      </c>
      <c r="B261" t="s">
        <v>4616</v>
      </c>
      <c r="C261" t="s">
        <v>4617</v>
      </c>
      <c r="D261" t="s">
        <v>4618</v>
      </c>
      <c r="E261" t="s">
        <v>4619</v>
      </c>
      <c r="F261" t="s">
        <v>3917</v>
      </c>
      <c r="G261" t="s">
        <v>4620</v>
      </c>
    </row>
    <row r="262" spans="1:7" ht="11.25" customHeight="1">
      <c r="A262" s="310" t="s">
        <v>16</v>
      </c>
      <c r="B262" t="s">
        <v>4616</v>
      </c>
      <c r="C262" t="s">
        <v>4617</v>
      </c>
      <c r="D262" t="s">
        <v>4021</v>
      </c>
      <c r="E262" t="s">
        <v>4621</v>
      </c>
      <c r="F262" t="s">
        <v>3917</v>
      </c>
      <c r="G262" t="s">
        <v>4622</v>
      </c>
    </row>
    <row r="263" spans="1:7" ht="11.25" customHeight="1">
      <c r="A263" s="310" t="s">
        <v>16</v>
      </c>
      <c r="B263" t="s">
        <v>4616</v>
      </c>
      <c r="C263" t="s">
        <v>4617</v>
      </c>
      <c r="D263" t="s">
        <v>4623</v>
      </c>
      <c r="E263" t="s">
        <v>4624</v>
      </c>
      <c r="F263" t="s">
        <v>3917</v>
      </c>
      <c r="G263" t="s">
        <v>4625</v>
      </c>
    </row>
    <row r="264" spans="1:7" ht="11.25" customHeight="1">
      <c r="A264" s="310" t="s">
        <v>16</v>
      </c>
      <c r="B264" t="s">
        <v>4616</v>
      </c>
      <c r="C264" t="s">
        <v>4617</v>
      </c>
      <c r="D264" t="s">
        <v>4626</v>
      </c>
      <c r="E264" t="s">
        <v>4627</v>
      </c>
      <c r="F264" t="s">
        <v>3917</v>
      </c>
      <c r="G264" t="s">
        <v>4628</v>
      </c>
    </row>
    <row r="265" spans="1:7" ht="11.25" customHeight="1">
      <c r="A265" s="310" t="s">
        <v>16</v>
      </c>
      <c r="B265" t="s">
        <v>4616</v>
      </c>
      <c r="C265" t="s">
        <v>4617</v>
      </c>
      <c r="D265" t="s">
        <v>4629</v>
      </c>
      <c r="E265" t="s">
        <v>4630</v>
      </c>
      <c r="F265" t="s">
        <v>3917</v>
      </c>
      <c r="G265" t="s">
        <v>4631</v>
      </c>
    </row>
    <row r="266" spans="1:7" ht="11.25" customHeight="1">
      <c r="A266" s="310" t="s">
        <v>16</v>
      </c>
      <c r="B266" t="s">
        <v>4616</v>
      </c>
      <c r="C266" t="s">
        <v>4617</v>
      </c>
      <c r="D266" t="s">
        <v>4632</v>
      </c>
      <c r="E266" t="s">
        <v>4633</v>
      </c>
      <c r="F266" t="s">
        <v>3917</v>
      </c>
      <c r="G266" t="s">
        <v>4634</v>
      </c>
    </row>
    <row r="267" spans="1:7" ht="11.25" customHeight="1">
      <c r="A267" s="310" t="s">
        <v>16</v>
      </c>
      <c r="B267" t="s">
        <v>4616</v>
      </c>
      <c r="C267" t="s">
        <v>4617</v>
      </c>
      <c r="D267" t="s">
        <v>4616</v>
      </c>
      <c r="E267" t="s">
        <v>4617</v>
      </c>
      <c r="F267" t="s">
        <v>3914</v>
      </c>
      <c r="G267" t="s">
        <v>4635</v>
      </c>
    </row>
    <row r="268" spans="1:7" ht="11.25" customHeight="1">
      <c r="A268" s="310" t="s">
        <v>16</v>
      </c>
      <c r="B268" t="s">
        <v>4616</v>
      </c>
      <c r="C268" t="s">
        <v>4617</v>
      </c>
      <c r="D268" t="s">
        <v>4636</v>
      </c>
      <c r="E268" t="s">
        <v>4637</v>
      </c>
      <c r="F268" t="s">
        <v>3917</v>
      </c>
      <c r="G268" t="s">
        <v>4638</v>
      </c>
    </row>
    <row r="269" spans="1:7" ht="11.25" customHeight="1">
      <c r="A269" s="310" t="s">
        <v>16</v>
      </c>
      <c r="B269" t="s">
        <v>4616</v>
      </c>
      <c r="C269" t="s">
        <v>4617</v>
      </c>
      <c r="D269" t="s">
        <v>4639</v>
      </c>
      <c r="E269" t="s">
        <v>4640</v>
      </c>
      <c r="F269" t="s">
        <v>3917</v>
      </c>
      <c r="G269" t="s">
        <v>4641</v>
      </c>
    </row>
    <row r="270" spans="1:7" ht="11.25" customHeight="1">
      <c r="A270" s="310" t="s">
        <v>16</v>
      </c>
      <c r="B270" t="s">
        <v>4616</v>
      </c>
      <c r="C270" t="s">
        <v>4617</v>
      </c>
      <c r="D270" t="s">
        <v>4642</v>
      </c>
      <c r="E270" t="s">
        <v>4643</v>
      </c>
      <c r="F270" t="s">
        <v>3917</v>
      </c>
      <c r="G270" t="s">
        <v>4644</v>
      </c>
    </row>
    <row r="271" spans="1:7" ht="11.25" customHeight="1">
      <c r="A271" s="310" t="s">
        <v>16</v>
      </c>
      <c r="B271" t="s">
        <v>4616</v>
      </c>
      <c r="C271" t="s">
        <v>4617</v>
      </c>
      <c r="D271" t="s">
        <v>4645</v>
      </c>
      <c r="E271" t="s">
        <v>4646</v>
      </c>
      <c r="F271" t="s">
        <v>3917</v>
      </c>
      <c r="G271" t="s">
        <v>4647</v>
      </c>
    </row>
    <row r="272" spans="1:7" ht="11.25" customHeight="1">
      <c r="A272" s="310" t="s">
        <v>16</v>
      </c>
      <c r="B272" t="s">
        <v>4616</v>
      </c>
      <c r="C272" t="s">
        <v>4617</v>
      </c>
      <c r="D272" t="s">
        <v>4135</v>
      </c>
      <c r="E272" t="s">
        <v>4648</v>
      </c>
      <c r="F272" t="s">
        <v>3917</v>
      </c>
      <c r="G272" t="s">
        <v>4649</v>
      </c>
    </row>
    <row r="273" spans="1:7" ht="11.25" customHeight="1">
      <c r="A273" s="310" t="s">
        <v>16</v>
      </c>
      <c r="B273" t="s">
        <v>4616</v>
      </c>
      <c r="C273" t="s">
        <v>4617</v>
      </c>
      <c r="D273" t="s">
        <v>4650</v>
      </c>
      <c r="E273" t="s">
        <v>4651</v>
      </c>
      <c r="F273" t="s">
        <v>3917</v>
      </c>
      <c r="G273" t="s">
        <v>4652</v>
      </c>
    </row>
    <row r="274" spans="1:7" ht="11.25" customHeight="1">
      <c r="A274" s="310" t="s">
        <v>16</v>
      </c>
      <c r="B274" t="s">
        <v>4616</v>
      </c>
      <c r="C274" t="s">
        <v>4617</v>
      </c>
      <c r="D274" t="s">
        <v>4653</v>
      </c>
      <c r="E274" t="s">
        <v>4654</v>
      </c>
      <c r="F274" t="s">
        <v>3917</v>
      </c>
      <c r="G274" t="s">
        <v>4655</v>
      </c>
    </row>
    <row r="275" spans="1:7" ht="11.25" customHeight="1">
      <c r="A275" s="310" t="s">
        <v>16</v>
      </c>
      <c r="B275" t="s">
        <v>4616</v>
      </c>
      <c r="C275" t="s">
        <v>4617</v>
      </c>
      <c r="D275" t="s">
        <v>4656</v>
      </c>
      <c r="E275" t="s">
        <v>4657</v>
      </c>
      <c r="F275" t="s">
        <v>4083</v>
      </c>
      <c r="G275" t="s">
        <v>4658</v>
      </c>
    </row>
    <row r="276" spans="1:7" ht="11.25" customHeight="1">
      <c r="A276" s="310" t="s">
        <v>16</v>
      </c>
      <c r="B276" t="s">
        <v>4659</v>
      </c>
      <c r="C276" t="s">
        <v>4660</v>
      </c>
      <c r="D276" t="s">
        <v>4661</v>
      </c>
      <c r="E276" t="s">
        <v>4662</v>
      </c>
      <c r="F276" t="s">
        <v>3917</v>
      </c>
      <c r="G276" t="s">
        <v>4663</v>
      </c>
    </row>
    <row r="277" spans="1:7" ht="11.25" customHeight="1">
      <c r="A277" s="310" t="s">
        <v>16</v>
      </c>
      <c r="B277" t="s">
        <v>4659</v>
      </c>
      <c r="C277" t="s">
        <v>4660</v>
      </c>
      <c r="D277" t="s">
        <v>4664</v>
      </c>
      <c r="E277" t="s">
        <v>4665</v>
      </c>
      <c r="F277" t="s">
        <v>3917</v>
      </c>
      <c r="G277" t="s">
        <v>4666</v>
      </c>
    </row>
    <row r="278" spans="1:7" ht="11.25" customHeight="1">
      <c r="A278" s="310" t="s">
        <v>16</v>
      </c>
      <c r="B278" t="s">
        <v>4659</v>
      </c>
      <c r="C278" t="s">
        <v>4660</v>
      </c>
      <c r="D278" t="s">
        <v>4667</v>
      </c>
      <c r="E278" t="s">
        <v>4668</v>
      </c>
      <c r="F278" t="s">
        <v>3917</v>
      </c>
      <c r="G278" t="s">
        <v>4669</v>
      </c>
    </row>
    <row r="279" spans="1:7" ht="11.25" customHeight="1">
      <c r="A279" s="310" t="s">
        <v>16</v>
      </c>
      <c r="B279" t="s">
        <v>4659</v>
      </c>
      <c r="C279" t="s">
        <v>4660</v>
      </c>
      <c r="D279" t="s">
        <v>4670</v>
      </c>
      <c r="E279" t="s">
        <v>4671</v>
      </c>
      <c r="F279" t="s">
        <v>3917</v>
      </c>
      <c r="G279" t="s">
        <v>4672</v>
      </c>
    </row>
    <row r="280" spans="1:7" ht="11.25" customHeight="1">
      <c r="A280" s="310" t="s">
        <v>16</v>
      </c>
      <c r="B280" t="s">
        <v>4659</v>
      </c>
      <c r="C280" t="s">
        <v>4660</v>
      </c>
      <c r="D280" t="s">
        <v>4673</v>
      </c>
      <c r="E280" t="s">
        <v>4674</v>
      </c>
      <c r="F280" t="s">
        <v>3917</v>
      </c>
      <c r="G280" t="s">
        <v>4675</v>
      </c>
    </row>
    <row r="281" spans="1:7" ht="11.25" customHeight="1">
      <c r="A281" s="310" t="s">
        <v>16</v>
      </c>
      <c r="B281" t="s">
        <v>4659</v>
      </c>
      <c r="C281" t="s">
        <v>4660</v>
      </c>
      <c r="D281" t="s">
        <v>4676</v>
      </c>
      <c r="E281" t="s">
        <v>4677</v>
      </c>
      <c r="F281" t="s">
        <v>3917</v>
      </c>
      <c r="G281" t="s">
        <v>4678</v>
      </c>
    </row>
    <row r="282" spans="1:7" ht="11.25" customHeight="1">
      <c r="A282" s="310" t="s">
        <v>16</v>
      </c>
      <c r="B282" t="s">
        <v>4659</v>
      </c>
      <c r="C282" t="s">
        <v>4660</v>
      </c>
      <c r="D282" t="s">
        <v>4679</v>
      </c>
      <c r="E282" t="s">
        <v>4680</v>
      </c>
      <c r="F282" t="s">
        <v>3917</v>
      </c>
      <c r="G282" t="s">
        <v>4681</v>
      </c>
    </row>
    <row r="283" spans="1:7" ht="11.25" customHeight="1">
      <c r="A283" s="310" t="s">
        <v>16</v>
      </c>
      <c r="B283" t="s">
        <v>4659</v>
      </c>
      <c r="C283" t="s">
        <v>4660</v>
      </c>
      <c r="D283" t="s">
        <v>4682</v>
      </c>
      <c r="E283" t="s">
        <v>4683</v>
      </c>
      <c r="F283" t="s">
        <v>3917</v>
      </c>
      <c r="G283" t="s">
        <v>4684</v>
      </c>
    </row>
    <row r="284" spans="1:7" ht="11.25" customHeight="1">
      <c r="A284" s="310" t="s">
        <v>16</v>
      </c>
      <c r="B284" t="s">
        <v>4659</v>
      </c>
      <c r="C284" t="s">
        <v>4660</v>
      </c>
      <c r="D284" t="s">
        <v>4659</v>
      </c>
      <c r="E284" t="s">
        <v>4660</v>
      </c>
      <c r="F284" t="s">
        <v>3914</v>
      </c>
      <c r="G284" t="s">
        <v>4685</v>
      </c>
    </row>
    <row r="285" spans="1:7" ht="11.25" customHeight="1">
      <c r="A285" s="310" t="s">
        <v>16</v>
      </c>
      <c r="B285" t="s">
        <v>4659</v>
      </c>
      <c r="C285" t="s">
        <v>4660</v>
      </c>
      <c r="D285" t="s">
        <v>4686</v>
      </c>
      <c r="E285" t="s">
        <v>4687</v>
      </c>
      <c r="F285" t="s">
        <v>3952</v>
      </c>
      <c r="G285" t="s">
        <v>4688</v>
      </c>
    </row>
    <row r="286" spans="1:7" ht="11.25" customHeight="1">
      <c r="A286" s="310" t="s">
        <v>16</v>
      </c>
      <c r="B286" t="s">
        <v>4659</v>
      </c>
      <c r="C286" t="s">
        <v>4660</v>
      </c>
      <c r="D286" t="s">
        <v>4689</v>
      </c>
      <c r="E286" t="s">
        <v>4690</v>
      </c>
      <c r="F286" t="s">
        <v>3917</v>
      </c>
      <c r="G286" t="s">
        <v>4691</v>
      </c>
    </row>
    <row r="287" spans="1:7" ht="11.25" customHeight="1">
      <c r="A287" s="310" t="s">
        <v>16</v>
      </c>
      <c r="B287" t="s">
        <v>4659</v>
      </c>
      <c r="C287" t="s">
        <v>4660</v>
      </c>
      <c r="D287" t="s">
        <v>4692</v>
      </c>
      <c r="E287" t="s">
        <v>4693</v>
      </c>
      <c r="F287" t="s">
        <v>3917</v>
      </c>
      <c r="G287" t="s">
        <v>4694</v>
      </c>
    </row>
    <row r="288" spans="1:7" ht="11.25" customHeight="1">
      <c r="A288" s="310" t="s">
        <v>16</v>
      </c>
      <c r="B288" t="s">
        <v>4695</v>
      </c>
      <c r="C288" t="s">
        <v>4696</v>
      </c>
      <c r="D288" t="s">
        <v>4697</v>
      </c>
      <c r="E288" t="s">
        <v>4698</v>
      </c>
      <c r="F288" t="s">
        <v>3917</v>
      </c>
      <c r="G288" t="s">
        <v>4699</v>
      </c>
    </row>
    <row r="289" spans="1:7" ht="11.25" customHeight="1">
      <c r="A289" s="310" t="s">
        <v>16</v>
      </c>
      <c r="B289" t="s">
        <v>4695</v>
      </c>
      <c r="C289" t="s">
        <v>4696</v>
      </c>
      <c r="D289" t="s">
        <v>4700</v>
      </c>
      <c r="E289" t="s">
        <v>4701</v>
      </c>
      <c r="F289" t="s">
        <v>3917</v>
      </c>
      <c r="G289" t="s">
        <v>4702</v>
      </c>
    </row>
    <row r="290" spans="1:7" ht="11.25" customHeight="1">
      <c r="A290" s="310" t="s">
        <v>16</v>
      </c>
      <c r="B290" t="s">
        <v>4695</v>
      </c>
      <c r="C290" t="s">
        <v>4696</v>
      </c>
      <c r="D290" t="s">
        <v>4703</v>
      </c>
      <c r="E290" t="s">
        <v>4704</v>
      </c>
      <c r="F290" t="s">
        <v>3917</v>
      </c>
      <c r="G290" t="s">
        <v>4705</v>
      </c>
    </row>
    <row r="291" spans="1:7" ht="11.25" customHeight="1">
      <c r="A291" s="310" t="s">
        <v>16</v>
      </c>
      <c r="B291" t="s">
        <v>4695</v>
      </c>
      <c r="C291" t="s">
        <v>4696</v>
      </c>
      <c r="D291" t="s">
        <v>4706</v>
      </c>
      <c r="E291" t="s">
        <v>4707</v>
      </c>
      <c r="F291" t="s">
        <v>3917</v>
      </c>
      <c r="G291" t="s">
        <v>4708</v>
      </c>
    </row>
    <row r="292" spans="1:7" ht="11.25" customHeight="1">
      <c r="A292" s="310" t="s">
        <v>16</v>
      </c>
      <c r="B292" t="s">
        <v>4695</v>
      </c>
      <c r="C292" t="s">
        <v>4696</v>
      </c>
      <c r="D292" t="s">
        <v>4709</v>
      </c>
      <c r="E292" t="s">
        <v>4710</v>
      </c>
      <c r="F292" t="s">
        <v>3917</v>
      </c>
      <c r="G292" t="s">
        <v>4711</v>
      </c>
    </row>
    <row r="293" spans="1:7" ht="11.25" customHeight="1">
      <c r="A293" s="310" t="s">
        <v>16</v>
      </c>
      <c r="B293" t="s">
        <v>4695</v>
      </c>
      <c r="C293" t="s">
        <v>4696</v>
      </c>
      <c r="D293" t="s">
        <v>4712</v>
      </c>
      <c r="E293" t="s">
        <v>4713</v>
      </c>
      <c r="F293" t="s">
        <v>3917</v>
      </c>
      <c r="G293" t="s">
        <v>4714</v>
      </c>
    </row>
    <row r="294" spans="1:7" ht="11.25" customHeight="1">
      <c r="A294" s="310" t="s">
        <v>16</v>
      </c>
      <c r="B294" t="s">
        <v>4695</v>
      </c>
      <c r="C294" t="s">
        <v>4696</v>
      </c>
      <c r="D294" t="s">
        <v>4715</v>
      </c>
      <c r="E294" t="s">
        <v>4716</v>
      </c>
      <c r="F294" t="s">
        <v>3917</v>
      </c>
      <c r="G294" t="s">
        <v>4717</v>
      </c>
    </row>
    <row r="295" spans="1:7" ht="11.25" customHeight="1">
      <c r="A295" s="310" t="s">
        <v>16</v>
      </c>
      <c r="B295" t="s">
        <v>4695</v>
      </c>
      <c r="C295" t="s">
        <v>4696</v>
      </c>
      <c r="D295" t="s">
        <v>4111</v>
      </c>
      <c r="E295" t="s">
        <v>4718</v>
      </c>
      <c r="F295" t="s">
        <v>3917</v>
      </c>
      <c r="G295" t="s">
        <v>4719</v>
      </c>
    </row>
    <row r="296" spans="1:7" ht="11.25" customHeight="1">
      <c r="A296" s="310" t="s">
        <v>16</v>
      </c>
      <c r="B296" t="s">
        <v>4695</v>
      </c>
      <c r="C296" t="s">
        <v>4696</v>
      </c>
      <c r="D296" t="s">
        <v>4720</v>
      </c>
      <c r="E296" t="s">
        <v>4721</v>
      </c>
      <c r="F296" t="s">
        <v>3917</v>
      </c>
      <c r="G296" t="s">
        <v>4722</v>
      </c>
    </row>
    <row r="297" spans="1:7" ht="11.25" customHeight="1">
      <c r="A297" s="310" t="s">
        <v>16</v>
      </c>
      <c r="B297" t="s">
        <v>4695</v>
      </c>
      <c r="C297" t="s">
        <v>4696</v>
      </c>
      <c r="D297" t="s">
        <v>4723</v>
      </c>
      <c r="E297" t="s">
        <v>4724</v>
      </c>
      <c r="F297" t="s">
        <v>3917</v>
      </c>
      <c r="G297" t="s">
        <v>4725</v>
      </c>
    </row>
    <row r="298" spans="1:7" ht="11.25" customHeight="1">
      <c r="A298" s="310" t="s">
        <v>16</v>
      </c>
      <c r="B298" t="s">
        <v>4695</v>
      </c>
      <c r="C298" t="s">
        <v>4696</v>
      </c>
      <c r="D298" t="s">
        <v>4726</v>
      </c>
      <c r="E298" t="s">
        <v>4727</v>
      </c>
      <c r="F298" t="s">
        <v>3917</v>
      </c>
      <c r="G298" t="s">
        <v>4728</v>
      </c>
    </row>
    <row r="299" spans="1:7" ht="11.25" customHeight="1">
      <c r="A299" s="310" t="s">
        <v>16</v>
      </c>
      <c r="B299" t="s">
        <v>4695</v>
      </c>
      <c r="C299" t="s">
        <v>4696</v>
      </c>
      <c r="D299" t="s">
        <v>4695</v>
      </c>
      <c r="E299" t="s">
        <v>4696</v>
      </c>
      <c r="F299" t="s">
        <v>3914</v>
      </c>
      <c r="G299" t="s">
        <v>4729</v>
      </c>
    </row>
    <row r="300" spans="1:7" ht="11.25" customHeight="1">
      <c r="A300" s="310" t="s">
        <v>16</v>
      </c>
      <c r="B300" t="s">
        <v>4695</v>
      </c>
      <c r="C300" t="s">
        <v>4696</v>
      </c>
      <c r="D300" t="s">
        <v>4730</v>
      </c>
      <c r="E300" t="s">
        <v>4731</v>
      </c>
      <c r="F300" t="s">
        <v>3917</v>
      </c>
      <c r="G300" t="s">
        <v>4732</v>
      </c>
    </row>
    <row r="301" spans="1:7" ht="11.25" customHeight="1">
      <c r="A301" s="310" t="s">
        <v>16</v>
      </c>
      <c r="B301" t="s">
        <v>4695</v>
      </c>
      <c r="C301" t="s">
        <v>4696</v>
      </c>
      <c r="D301" t="s">
        <v>4263</v>
      </c>
      <c r="E301" t="s">
        <v>4733</v>
      </c>
      <c r="F301" t="s">
        <v>3917</v>
      </c>
      <c r="G301" t="s">
        <v>4734</v>
      </c>
    </row>
    <row r="302" spans="1:7" ht="11.25" customHeight="1">
      <c r="A302" s="310" t="s">
        <v>16</v>
      </c>
      <c r="B302" t="s">
        <v>4695</v>
      </c>
      <c r="C302" t="s">
        <v>4696</v>
      </c>
      <c r="D302" t="s">
        <v>4735</v>
      </c>
      <c r="E302" t="s">
        <v>4736</v>
      </c>
      <c r="F302" t="s">
        <v>3917</v>
      </c>
      <c r="G302" t="s">
        <v>4737</v>
      </c>
    </row>
    <row r="303" spans="1:7" ht="11.25" customHeight="1">
      <c r="A303" s="310" t="s">
        <v>16</v>
      </c>
      <c r="B303" t="s">
        <v>4695</v>
      </c>
      <c r="C303" t="s">
        <v>4696</v>
      </c>
      <c r="D303" t="s">
        <v>4738</v>
      </c>
      <c r="E303" t="s">
        <v>4739</v>
      </c>
      <c r="F303" t="s">
        <v>3917</v>
      </c>
      <c r="G303" t="s">
        <v>4740</v>
      </c>
    </row>
    <row r="304" spans="1:7" ht="11.25" customHeight="1">
      <c r="A304" s="310" t="s">
        <v>16</v>
      </c>
      <c r="B304" t="s">
        <v>4695</v>
      </c>
      <c r="C304" t="s">
        <v>4696</v>
      </c>
      <c r="D304" t="s">
        <v>4741</v>
      </c>
      <c r="E304" t="s">
        <v>4742</v>
      </c>
      <c r="F304" t="s">
        <v>3952</v>
      </c>
      <c r="G304" t="s">
        <v>4743</v>
      </c>
    </row>
    <row r="305" spans="1:7" ht="11.25" customHeight="1">
      <c r="A305" s="310" t="s">
        <v>16</v>
      </c>
      <c r="B305" t="s">
        <v>4744</v>
      </c>
      <c r="C305" t="s">
        <v>4745</v>
      </c>
      <c r="D305" t="s">
        <v>4746</v>
      </c>
      <c r="E305" t="s">
        <v>4747</v>
      </c>
      <c r="F305" t="s">
        <v>3917</v>
      </c>
      <c r="G305" t="s">
        <v>4748</v>
      </c>
    </row>
    <row r="306" spans="1:7" ht="11.25" customHeight="1">
      <c r="A306" s="310" t="s">
        <v>16</v>
      </c>
      <c r="B306" t="s">
        <v>4744</v>
      </c>
      <c r="C306" t="s">
        <v>4745</v>
      </c>
      <c r="D306" t="s">
        <v>4749</v>
      </c>
      <c r="E306" t="s">
        <v>4750</v>
      </c>
      <c r="F306" t="s">
        <v>3917</v>
      </c>
      <c r="G306" t="s">
        <v>4751</v>
      </c>
    </row>
    <row r="307" spans="1:7" ht="11.25" customHeight="1">
      <c r="A307" s="310" t="s">
        <v>16</v>
      </c>
      <c r="B307" t="s">
        <v>4744</v>
      </c>
      <c r="C307" t="s">
        <v>4745</v>
      </c>
      <c r="D307" t="s">
        <v>4752</v>
      </c>
      <c r="E307" t="s">
        <v>4753</v>
      </c>
      <c r="F307" t="s">
        <v>3917</v>
      </c>
      <c r="G307" t="s">
        <v>4754</v>
      </c>
    </row>
    <row r="308" spans="1:7" ht="11.25" customHeight="1">
      <c r="A308" s="310" t="s">
        <v>16</v>
      </c>
      <c r="B308" t="s">
        <v>4744</v>
      </c>
      <c r="C308" t="s">
        <v>4745</v>
      </c>
      <c r="D308" t="s">
        <v>4755</v>
      </c>
      <c r="E308" t="s">
        <v>4756</v>
      </c>
      <c r="F308" t="s">
        <v>3917</v>
      </c>
      <c r="G308" t="s">
        <v>4757</v>
      </c>
    </row>
    <row r="309" spans="1:7" ht="11.25" customHeight="1">
      <c r="A309" s="310" t="s">
        <v>16</v>
      </c>
      <c r="B309" t="s">
        <v>4744</v>
      </c>
      <c r="C309" t="s">
        <v>4745</v>
      </c>
      <c r="D309" t="s">
        <v>4758</v>
      </c>
      <c r="E309" t="s">
        <v>4759</v>
      </c>
      <c r="F309" t="s">
        <v>3917</v>
      </c>
      <c r="G309" t="s">
        <v>4760</v>
      </c>
    </row>
    <row r="310" spans="1:7" ht="11.25" customHeight="1">
      <c r="A310" s="310" t="s">
        <v>16</v>
      </c>
      <c r="B310" t="s">
        <v>4744</v>
      </c>
      <c r="C310" t="s">
        <v>4745</v>
      </c>
      <c r="D310" t="s">
        <v>4761</v>
      </c>
      <c r="E310" t="s">
        <v>4762</v>
      </c>
      <c r="F310" t="s">
        <v>3917</v>
      </c>
      <c r="G310" t="s">
        <v>4763</v>
      </c>
    </row>
    <row r="311" spans="1:7" ht="11.25" customHeight="1">
      <c r="A311" s="310" t="s">
        <v>16</v>
      </c>
      <c r="B311" t="s">
        <v>4744</v>
      </c>
      <c r="C311" t="s">
        <v>4745</v>
      </c>
      <c r="D311" t="s">
        <v>4764</v>
      </c>
      <c r="E311" t="s">
        <v>4765</v>
      </c>
      <c r="F311" t="s">
        <v>3917</v>
      </c>
      <c r="G311" t="s">
        <v>4766</v>
      </c>
    </row>
    <row r="312" spans="1:7" ht="11.25" customHeight="1">
      <c r="A312" s="310" t="s">
        <v>16</v>
      </c>
      <c r="B312" t="s">
        <v>4744</v>
      </c>
      <c r="C312" t="s">
        <v>4745</v>
      </c>
      <c r="D312" t="s">
        <v>4767</v>
      </c>
      <c r="E312" t="s">
        <v>4768</v>
      </c>
      <c r="F312" t="s">
        <v>3917</v>
      </c>
      <c r="G312" t="s">
        <v>4769</v>
      </c>
    </row>
    <row r="313" spans="1:7" ht="11.25" customHeight="1">
      <c r="A313" s="310" t="s">
        <v>16</v>
      </c>
      <c r="B313" t="s">
        <v>4744</v>
      </c>
      <c r="C313" t="s">
        <v>4745</v>
      </c>
      <c r="D313" t="s">
        <v>4744</v>
      </c>
      <c r="E313" t="s">
        <v>4745</v>
      </c>
      <c r="F313" t="s">
        <v>3914</v>
      </c>
      <c r="G313" t="s">
        <v>4770</v>
      </c>
    </row>
    <row r="314" spans="1:7" ht="11.25" customHeight="1">
      <c r="A314" s="310" t="s">
        <v>16</v>
      </c>
      <c r="B314" t="s">
        <v>4744</v>
      </c>
      <c r="C314" t="s">
        <v>4745</v>
      </c>
      <c r="D314" t="s">
        <v>4771</v>
      </c>
      <c r="E314" t="s">
        <v>4772</v>
      </c>
      <c r="F314" t="s">
        <v>3917</v>
      </c>
      <c r="G314" t="s">
        <v>4773</v>
      </c>
    </row>
    <row r="315" spans="1:7" ht="11.25" customHeight="1">
      <c r="A315" s="310" t="s">
        <v>16</v>
      </c>
      <c r="B315" t="s">
        <v>4744</v>
      </c>
      <c r="C315" t="s">
        <v>4745</v>
      </c>
      <c r="D315" t="s">
        <v>4774</v>
      </c>
      <c r="E315" t="s">
        <v>4775</v>
      </c>
      <c r="F315" t="s">
        <v>3917</v>
      </c>
      <c r="G315" t="s">
        <v>4776</v>
      </c>
    </row>
    <row r="316" spans="1:7" ht="11.25" customHeight="1">
      <c r="A316" s="310" t="s">
        <v>16</v>
      </c>
      <c r="B316" t="s">
        <v>4744</v>
      </c>
      <c r="C316" t="s">
        <v>4745</v>
      </c>
      <c r="D316" t="s">
        <v>4777</v>
      </c>
      <c r="E316" t="s">
        <v>4778</v>
      </c>
      <c r="F316" t="s">
        <v>3917</v>
      </c>
      <c r="G316" t="s">
        <v>4779</v>
      </c>
    </row>
    <row r="317" spans="1:7" ht="11.25" customHeight="1">
      <c r="A317" s="310" t="s">
        <v>16</v>
      </c>
      <c r="B317" t="s">
        <v>4744</v>
      </c>
      <c r="C317" t="s">
        <v>4745</v>
      </c>
      <c r="D317" t="s">
        <v>4780</v>
      </c>
      <c r="E317" t="s">
        <v>4781</v>
      </c>
      <c r="F317" t="s">
        <v>3917</v>
      </c>
      <c r="G317" t="s">
        <v>4782</v>
      </c>
    </row>
    <row r="318" spans="1:7" ht="11.25" customHeight="1">
      <c r="A318" s="310" t="s">
        <v>16</v>
      </c>
      <c r="B318" t="s">
        <v>4744</v>
      </c>
      <c r="C318" t="s">
        <v>4745</v>
      </c>
      <c r="D318" t="s">
        <v>4783</v>
      </c>
      <c r="E318" t="s">
        <v>4784</v>
      </c>
      <c r="F318" t="s">
        <v>3917</v>
      </c>
      <c r="G318" t="s">
        <v>4785</v>
      </c>
    </row>
    <row r="319" spans="1:7" ht="11.25" customHeight="1">
      <c r="A319" s="310" t="s">
        <v>16</v>
      </c>
      <c r="B319" t="s">
        <v>4786</v>
      </c>
      <c r="C319" t="s">
        <v>4787</v>
      </c>
      <c r="D319" t="s">
        <v>4788</v>
      </c>
      <c r="E319" t="s">
        <v>4789</v>
      </c>
      <c r="F319" t="s">
        <v>3917</v>
      </c>
      <c r="G319" t="s">
        <v>4790</v>
      </c>
    </row>
    <row r="320" spans="1:7" ht="11.25" customHeight="1">
      <c r="A320" s="310" t="s">
        <v>16</v>
      </c>
      <c r="B320" t="s">
        <v>4786</v>
      </c>
      <c r="C320" t="s">
        <v>4787</v>
      </c>
      <c r="D320" t="s">
        <v>4791</v>
      </c>
      <c r="E320" t="s">
        <v>4792</v>
      </c>
      <c r="F320" t="s">
        <v>3917</v>
      </c>
      <c r="G320" t="s">
        <v>4793</v>
      </c>
    </row>
    <row r="321" spans="1:7" ht="11.25" customHeight="1">
      <c r="A321" s="310" t="s">
        <v>16</v>
      </c>
      <c r="B321" t="s">
        <v>4786</v>
      </c>
      <c r="C321" t="s">
        <v>4787</v>
      </c>
      <c r="D321" t="s">
        <v>4794</v>
      </c>
      <c r="E321" t="s">
        <v>4795</v>
      </c>
      <c r="F321" t="s">
        <v>3917</v>
      </c>
      <c r="G321" t="s">
        <v>4796</v>
      </c>
    </row>
    <row r="322" spans="1:7" ht="11.25" customHeight="1">
      <c r="A322" s="310" t="s">
        <v>16</v>
      </c>
      <c r="B322" t="s">
        <v>4786</v>
      </c>
      <c r="C322" t="s">
        <v>4787</v>
      </c>
      <c r="D322" t="s">
        <v>4797</v>
      </c>
      <c r="E322" t="s">
        <v>4798</v>
      </c>
      <c r="F322" t="s">
        <v>3917</v>
      </c>
      <c r="G322" t="s">
        <v>4799</v>
      </c>
    </row>
    <row r="323" spans="1:7" ht="11.25" customHeight="1">
      <c r="A323" s="310" t="s">
        <v>16</v>
      </c>
      <c r="B323" t="s">
        <v>4786</v>
      </c>
      <c r="C323" t="s">
        <v>4787</v>
      </c>
      <c r="D323" t="s">
        <v>4673</v>
      </c>
      <c r="E323" t="s">
        <v>4800</v>
      </c>
      <c r="F323" t="s">
        <v>3917</v>
      </c>
      <c r="G323" t="s">
        <v>4801</v>
      </c>
    </row>
    <row r="324" spans="1:7" ht="11.25" customHeight="1">
      <c r="A324" s="310" t="s">
        <v>16</v>
      </c>
      <c r="B324" t="s">
        <v>4786</v>
      </c>
      <c r="C324" t="s">
        <v>4787</v>
      </c>
      <c r="D324" t="s">
        <v>3922</v>
      </c>
      <c r="E324" t="s">
        <v>4802</v>
      </c>
      <c r="F324" t="s">
        <v>3917</v>
      </c>
      <c r="G324" t="s">
        <v>4803</v>
      </c>
    </row>
    <row r="325" spans="1:7" ht="11.25" customHeight="1">
      <c r="A325" s="310" t="s">
        <v>16</v>
      </c>
      <c r="B325" t="s">
        <v>4786</v>
      </c>
      <c r="C325" t="s">
        <v>4787</v>
      </c>
      <c r="D325" t="s">
        <v>4804</v>
      </c>
      <c r="E325" t="s">
        <v>4805</v>
      </c>
      <c r="F325" t="s">
        <v>3917</v>
      </c>
      <c r="G325" t="s">
        <v>4806</v>
      </c>
    </row>
    <row r="326" spans="1:7" ht="11.25" customHeight="1">
      <c r="A326" s="310" t="s">
        <v>16</v>
      </c>
      <c r="B326" t="s">
        <v>4786</v>
      </c>
      <c r="C326" t="s">
        <v>4787</v>
      </c>
      <c r="D326" t="s">
        <v>4786</v>
      </c>
      <c r="E326" t="s">
        <v>4787</v>
      </c>
      <c r="F326" t="s">
        <v>3914</v>
      </c>
      <c r="G326" t="s">
        <v>4807</v>
      </c>
    </row>
    <row r="327" spans="1:7" ht="11.25" customHeight="1">
      <c r="A327" s="310" t="s">
        <v>16</v>
      </c>
      <c r="B327" t="s">
        <v>4786</v>
      </c>
      <c r="C327" t="s">
        <v>4787</v>
      </c>
      <c r="D327" t="s">
        <v>4808</v>
      </c>
      <c r="E327" t="s">
        <v>4809</v>
      </c>
      <c r="F327" t="s">
        <v>3917</v>
      </c>
      <c r="G327" t="s">
        <v>4810</v>
      </c>
    </row>
    <row r="328" spans="1:7" ht="11.25" customHeight="1">
      <c r="A328" s="310" t="s">
        <v>16</v>
      </c>
      <c r="B328" t="s">
        <v>4786</v>
      </c>
      <c r="C328" t="s">
        <v>4787</v>
      </c>
      <c r="D328" t="s">
        <v>4811</v>
      </c>
      <c r="E328" t="s">
        <v>4812</v>
      </c>
      <c r="F328" t="s">
        <v>3917</v>
      </c>
      <c r="G328" t="s">
        <v>4813</v>
      </c>
    </row>
    <row r="329" spans="1:7" ht="11.25" customHeight="1">
      <c r="A329" s="310" t="s">
        <v>16</v>
      </c>
      <c r="B329" t="s">
        <v>4786</v>
      </c>
      <c r="C329" t="s">
        <v>4787</v>
      </c>
      <c r="D329" t="s">
        <v>4814</v>
      </c>
      <c r="E329" t="s">
        <v>4815</v>
      </c>
      <c r="F329" t="s">
        <v>3917</v>
      </c>
      <c r="G329" t="s">
        <v>4816</v>
      </c>
    </row>
    <row r="330" spans="1:7" ht="11.25" customHeight="1">
      <c r="A330" s="310" t="s">
        <v>16</v>
      </c>
      <c r="B330" t="s">
        <v>4786</v>
      </c>
      <c r="C330" t="s">
        <v>4787</v>
      </c>
      <c r="D330" t="s">
        <v>4817</v>
      </c>
      <c r="E330" t="s">
        <v>4818</v>
      </c>
      <c r="F330" t="s">
        <v>3917</v>
      </c>
      <c r="G330" t="s">
        <v>4819</v>
      </c>
    </row>
    <row r="331" spans="1:7" ht="11.25" customHeight="1">
      <c r="A331" s="310" t="s">
        <v>16</v>
      </c>
      <c r="B331" t="s">
        <v>4786</v>
      </c>
      <c r="C331" t="s">
        <v>4787</v>
      </c>
      <c r="D331" t="s">
        <v>4528</v>
      </c>
      <c r="E331" t="s">
        <v>4820</v>
      </c>
      <c r="F331" t="s">
        <v>3917</v>
      </c>
      <c r="G331" t="s">
        <v>4821</v>
      </c>
    </row>
    <row r="332" spans="1:7" ht="11.25" customHeight="1">
      <c r="A332" s="310" t="s">
        <v>16</v>
      </c>
      <c r="B332" t="s">
        <v>4786</v>
      </c>
      <c r="C332" t="s">
        <v>4787</v>
      </c>
      <c r="D332" t="s">
        <v>4822</v>
      </c>
      <c r="E332" t="s">
        <v>4823</v>
      </c>
      <c r="F332" t="s">
        <v>3917</v>
      </c>
      <c r="G332" t="s">
        <v>4824</v>
      </c>
    </row>
    <row r="333" spans="1:7" ht="11.25" customHeight="1">
      <c r="A333" s="310" t="s">
        <v>16</v>
      </c>
      <c r="B333" t="s">
        <v>4786</v>
      </c>
      <c r="C333" t="s">
        <v>4787</v>
      </c>
      <c r="D333" t="s">
        <v>4825</v>
      </c>
      <c r="E333" t="s">
        <v>4826</v>
      </c>
      <c r="F333" t="s">
        <v>4083</v>
      </c>
      <c r="G333" t="s">
        <v>4827</v>
      </c>
    </row>
    <row r="334" spans="1:7" ht="11.25" customHeight="1">
      <c r="A334" s="310" t="s">
        <v>16</v>
      </c>
      <c r="B334" t="s">
        <v>4828</v>
      </c>
      <c r="C334" t="s">
        <v>4829</v>
      </c>
      <c r="D334" t="s">
        <v>4830</v>
      </c>
      <c r="E334" t="s">
        <v>4831</v>
      </c>
      <c r="F334" t="s">
        <v>3917</v>
      </c>
      <c r="G334" t="s">
        <v>4832</v>
      </c>
    </row>
    <row r="335" spans="1:7" ht="11.25" customHeight="1">
      <c r="A335" s="310" t="s">
        <v>16</v>
      </c>
      <c r="B335" t="s">
        <v>4828</v>
      </c>
      <c r="C335" t="s">
        <v>4829</v>
      </c>
      <c r="D335" t="s">
        <v>4833</v>
      </c>
      <c r="E335" t="s">
        <v>4834</v>
      </c>
      <c r="F335" t="s">
        <v>3917</v>
      </c>
      <c r="G335" t="s">
        <v>4835</v>
      </c>
    </row>
    <row r="336" spans="1:7" ht="11.25" customHeight="1">
      <c r="A336" s="310" t="s">
        <v>16</v>
      </c>
      <c r="B336" t="s">
        <v>4828</v>
      </c>
      <c r="C336" t="s">
        <v>4829</v>
      </c>
      <c r="D336" t="s">
        <v>4720</v>
      </c>
      <c r="E336" t="s">
        <v>4836</v>
      </c>
      <c r="F336" t="s">
        <v>3917</v>
      </c>
      <c r="G336" t="s">
        <v>4837</v>
      </c>
    </row>
    <row r="337" spans="1:7" ht="11.25" customHeight="1">
      <c r="A337" s="310" t="s">
        <v>16</v>
      </c>
      <c r="B337" t="s">
        <v>4828</v>
      </c>
      <c r="C337" t="s">
        <v>4829</v>
      </c>
      <c r="D337" t="s">
        <v>4838</v>
      </c>
      <c r="E337" t="s">
        <v>4839</v>
      </c>
      <c r="F337" t="s">
        <v>3917</v>
      </c>
      <c r="G337" t="s">
        <v>4840</v>
      </c>
    </row>
    <row r="338" spans="1:7" ht="11.25" customHeight="1">
      <c r="A338" s="310" t="s">
        <v>16</v>
      </c>
      <c r="B338" t="s">
        <v>4828</v>
      </c>
      <c r="C338" t="s">
        <v>4829</v>
      </c>
      <c r="D338" t="s">
        <v>4841</v>
      </c>
      <c r="E338" t="s">
        <v>4842</v>
      </c>
      <c r="F338" t="s">
        <v>3917</v>
      </c>
      <c r="G338" t="s">
        <v>4843</v>
      </c>
    </row>
    <row r="339" spans="1:7" ht="11.25" customHeight="1">
      <c r="A339" s="310" t="s">
        <v>16</v>
      </c>
      <c r="B339" t="s">
        <v>4828</v>
      </c>
      <c r="C339" t="s">
        <v>4829</v>
      </c>
      <c r="D339" t="s">
        <v>4844</v>
      </c>
      <c r="E339" t="s">
        <v>4845</v>
      </c>
      <c r="F339" t="s">
        <v>3917</v>
      </c>
      <c r="G339" t="s">
        <v>4846</v>
      </c>
    </row>
    <row r="340" spans="1:7" ht="11.25" customHeight="1">
      <c r="A340" s="310" t="s">
        <v>16</v>
      </c>
      <c r="B340" t="s">
        <v>4828</v>
      </c>
      <c r="C340" t="s">
        <v>4829</v>
      </c>
      <c r="D340" t="s">
        <v>4847</v>
      </c>
      <c r="E340" t="s">
        <v>4848</v>
      </c>
      <c r="F340" t="s">
        <v>3917</v>
      </c>
      <c r="G340" t="s">
        <v>4849</v>
      </c>
    </row>
    <row r="341" spans="1:7" ht="11.25" customHeight="1">
      <c r="A341" s="310" t="s">
        <v>16</v>
      </c>
      <c r="B341" t="s">
        <v>4828</v>
      </c>
      <c r="C341" t="s">
        <v>4829</v>
      </c>
      <c r="D341" t="s">
        <v>4850</v>
      </c>
      <c r="E341" t="s">
        <v>4851</v>
      </c>
      <c r="F341" t="s">
        <v>3917</v>
      </c>
      <c r="G341" t="s">
        <v>4852</v>
      </c>
    </row>
    <row r="342" spans="1:7" ht="11.25" customHeight="1">
      <c r="A342" s="310" t="s">
        <v>16</v>
      </c>
      <c r="B342" t="s">
        <v>4828</v>
      </c>
      <c r="C342" t="s">
        <v>4829</v>
      </c>
      <c r="D342" t="s">
        <v>4828</v>
      </c>
      <c r="E342" t="s">
        <v>4829</v>
      </c>
      <c r="F342" t="s">
        <v>3914</v>
      </c>
      <c r="G342" t="s">
        <v>4853</v>
      </c>
    </row>
    <row r="343" spans="1:7" ht="11.25" customHeight="1">
      <c r="A343" s="310" t="s">
        <v>16</v>
      </c>
      <c r="B343" t="s">
        <v>4828</v>
      </c>
      <c r="C343" t="s">
        <v>4829</v>
      </c>
      <c r="D343" t="s">
        <v>4854</v>
      </c>
      <c r="E343" t="s">
        <v>4855</v>
      </c>
      <c r="F343" t="s">
        <v>3952</v>
      </c>
      <c r="G343" t="s">
        <v>4856</v>
      </c>
    </row>
    <row r="344" spans="1:7" ht="11.25" customHeight="1">
      <c r="A344" s="310" t="s">
        <v>16</v>
      </c>
      <c r="B344" t="s">
        <v>4828</v>
      </c>
      <c r="C344" t="s">
        <v>4829</v>
      </c>
      <c r="D344" t="s">
        <v>4857</v>
      </c>
      <c r="E344" t="s">
        <v>4858</v>
      </c>
      <c r="F344" t="s">
        <v>3917</v>
      </c>
      <c r="G344" t="s">
        <v>4859</v>
      </c>
    </row>
    <row r="345" spans="1:7" ht="11.25" customHeight="1">
      <c r="A345" s="310" t="s">
        <v>16</v>
      </c>
      <c r="B345" t="s">
        <v>4860</v>
      </c>
      <c r="C345" t="s">
        <v>4861</v>
      </c>
      <c r="D345" t="s">
        <v>4862</v>
      </c>
      <c r="E345" t="s">
        <v>4863</v>
      </c>
      <c r="F345" t="s">
        <v>3917</v>
      </c>
      <c r="G345" t="s">
        <v>4864</v>
      </c>
    </row>
    <row r="346" spans="1:7" ht="11.25" customHeight="1">
      <c r="A346" s="310" t="s">
        <v>16</v>
      </c>
      <c r="B346" t="s">
        <v>4860</v>
      </c>
      <c r="C346" t="s">
        <v>4861</v>
      </c>
      <c r="D346" t="s">
        <v>4865</v>
      </c>
      <c r="E346" t="s">
        <v>4866</v>
      </c>
      <c r="F346" t="s">
        <v>3917</v>
      </c>
      <c r="G346" t="s">
        <v>4867</v>
      </c>
    </row>
    <row r="347" spans="1:7" ht="11.25" customHeight="1">
      <c r="A347" s="310" t="s">
        <v>16</v>
      </c>
      <c r="B347" t="s">
        <v>4860</v>
      </c>
      <c r="C347" t="s">
        <v>4861</v>
      </c>
      <c r="D347" t="s">
        <v>4868</v>
      </c>
      <c r="E347" t="s">
        <v>4869</v>
      </c>
      <c r="F347" t="s">
        <v>3917</v>
      </c>
      <c r="G347" t="s">
        <v>4870</v>
      </c>
    </row>
    <row r="348" spans="1:7" ht="11.25" customHeight="1">
      <c r="A348" s="310" t="s">
        <v>16</v>
      </c>
      <c r="B348" t="s">
        <v>4860</v>
      </c>
      <c r="C348" t="s">
        <v>4861</v>
      </c>
      <c r="D348" t="s">
        <v>4871</v>
      </c>
      <c r="E348" t="s">
        <v>4872</v>
      </c>
      <c r="F348" t="s">
        <v>3917</v>
      </c>
      <c r="G348" t="s">
        <v>4873</v>
      </c>
    </row>
    <row r="349" spans="1:7" ht="11.25" customHeight="1">
      <c r="A349" s="310" t="s">
        <v>16</v>
      </c>
      <c r="B349" t="s">
        <v>4860</v>
      </c>
      <c r="C349" t="s">
        <v>4861</v>
      </c>
      <c r="D349" t="s">
        <v>4874</v>
      </c>
      <c r="E349" t="s">
        <v>4875</v>
      </c>
      <c r="F349" t="s">
        <v>3917</v>
      </c>
      <c r="G349" t="s">
        <v>4876</v>
      </c>
    </row>
    <row r="350" spans="1:7" ht="11.25" customHeight="1">
      <c r="A350" s="310" t="s">
        <v>16</v>
      </c>
      <c r="B350" t="s">
        <v>4860</v>
      </c>
      <c r="C350" t="s">
        <v>4861</v>
      </c>
      <c r="D350" t="s">
        <v>4877</v>
      </c>
      <c r="E350" t="s">
        <v>4878</v>
      </c>
      <c r="F350" t="s">
        <v>3917</v>
      </c>
      <c r="G350" t="s">
        <v>4879</v>
      </c>
    </row>
    <row r="351" spans="1:7" ht="11.25" customHeight="1">
      <c r="A351" s="310" t="s">
        <v>16</v>
      </c>
      <c r="B351" t="s">
        <v>4860</v>
      </c>
      <c r="C351" t="s">
        <v>4861</v>
      </c>
      <c r="D351" t="s">
        <v>4880</v>
      </c>
      <c r="E351" t="s">
        <v>4881</v>
      </c>
      <c r="F351" t="s">
        <v>3917</v>
      </c>
      <c r="G351" t="s">
        <v>4882</v>
      </c>
    </row>
    <row r="352" spans="1:7" ht="11.25" customHeight="1">
      <c r="A352" s="310" t="s">
        <v>16</v>
      </c>
      <c r="B352" t="s">
        <v>4860</v>
      </c>
      <c r="C352" t="s">
        <v>4861</v>
      </c>
      <c r="D352" t="s">
        <v>4860</v>
      </c>
      <c r="E352" t="s">
        <v>4861</v>
      </c>
      <c r="F352" t="s">
        <v>3914</v>
      </c>
      <c r="G352" t="s">
        <v>4883</v>
      </c>
    </row>
    <row r="353" spans="1:7" ht="11.25" customHeight="1">
      <c r="A353" s="310" t="s">
        <v>16</v>
      </c>
      <c r="B353" t="s">
        <v>4860</v>
      </c>
      <c r="C353" t="s">
        <v>4861</v>
      </c>
      <c r="D353" t="s">
        <v>4884</v>
      </c>
      <c r="E353" t="s">
        <v>4885</v>
      </c>
      <c r="F353" t="s">
        <v>3952</v>
      </c>
      <c r="G353" t="s">
        <v>4886</v>
      </c>
    </row>
    <row r="354" spans="1:7" ht="11.25" customHeight="1">
      <c r="A354" s="310" t="s">
        <v>16</v>
      </c>
      <c r="B354" t="s">
        <v>4860</v>
      </c>
      <c r="C354" t="s">
        <v>4861</v>
      </c>
      <c r="D354" t="s">
        <v>4887</v>
      </c>
      <c r="E354" t="s">
        <v>4888</v>
      </c>
      <c r="F354" t="s">
        <v>3917</v>
      </c>
      <c r="G354" t="s">
        <v>4889</v>
      </c>
    </row>
    <row r="355" spans="1:7" ht="11.25" customHeight="1">
      <c r="A355" s="310" t="s">
        <v>16</v>
      </c>
      <c r="B355" t="s">
        <v>4860</v>
      </c>
      <c r="C355" t="s">
        <v>4861</v>
      </c>
      <c r="D355" t="s">
        <v>4890</v>
      </c>
      <c r="E355" t="s">
        <v>4891</v>
      </c>
      <c r="F355" t="s">
        <v>3917</v>
      </c>
      <c r="G355" t="s">
        <v>4892</v>
      </c>
    </row>
    <row r="356" spans="1:7" ht="11.25" customHeight="1">
      <c r="A356" s="310" t="s">
        <v>16</v>
      </c>
      <c r="B356" t="s">
        <v>4893</v>
      </c>
      <c r="C356" t="s">
        <v>4894</v>
      </c>
      <c r="D356" t="s">
        <v>4895</v>
      </c>
      <c r="E356" t="s">
        <v>4896</v>
      </c>
      <c r="F356" t="s">
        <v>3917</v>
      </c>
      <c r="G356" t="s">
        <v>4897</v>
      </c>
    </row>
    <row r="357" spans="1:7" ht="11.25" customHeight="1">
      <c r="A357" s="310" t="s">
        <v>16</v>
      </c>
      <c r="B357" t="s">
        <v>4893</v>
      </c>
      <c r="C357" t="s">
        <v>4894</v>
      </c>
      <c r="D357" t="s">
        <v>4898</v>
      </c>
      <c r="E357" t="s">
        <v>4899</v>
      </c>
      <c r="F357" t="s">
        <v>3917</v>
      </c>
      <c r="G357" t="s">
        <v>4900</v>
      </c>
    </row>
    <row r="358" spans="1:7" ht="11.25" customHeight="1">
      <c r="A358" s="310" t="s">
        <v>16</v>
      </c>
      <c r="B358" t="s">
        <v>4893</v>
      </c>
      <c r="C358" t="s">
        <v>4894</v>
      </c>
      <c r="D358" t="s">
        <v>4901</v>
      </c>
      <c r="E358" t="s">
        <v>4902</v>
      </c>
      <c r="F358" t="s">
        <v>3917</v>
      </c>
      <c r="G358" t="s">
        <v>4903</v>
      </c>
    </row>
    <row r="359" spans="1:7" ht="11.25" customHeight="1">
      <c r="A359" s="310" t="s">
        <v>16</v>
      </c>
      <c r="B359" t="s">
        <v>4893</v>
      </c>
      <c r="C359" t="s">
        <v>4894</v>
      </c>
      <c r="D359" t="s">
        <v>4904</v>
      </c>
      <c r="E359" t="s">
        <v>4905</v>
      </c>
      <c r="F359" t="s">
        <v>3917</v>
      </c>
      <c r="G359" t="s">
        <v>4906</v>
      </c>
    </row>
    <row r="360" spans="1:7" ht="11.25" customHeight="1">
      <c r="A360" s="310" t="s">
        <v>16</v>
      </c>
      <c r="B360" t="s">
        <v>4893</v>
      </c>
      <c r="C360" t="s">
        <v>4894</v>
      </c>
      <c r="D360" t="s">
        <v>4907</v>
      </c>
      <c r="E360" t="s">
        <v>4908</v>
      </c>
      <c r="F360" t="s">
        <v>3917</v>
      </c>
      <c r="G360" t="s">
        <v>4909</v>
      </c>
    </row>
    <row r="361" spans="1:7" ht="11.25" customHeight="1">
      <c r="A361" s="310" t="s">
        <v>16</v>
      </c>
      <c r="B361" t="s">
        <v>4893</v>
      </c>
      <c r="C361" t="s">
        <v>4894</v>
      </c>
      <c r="D361" t="s">
        <v>4910</v>
      </c>
      <c r="E361" t="s">
        <v>4911</v>
      </c>
      <c r="F361" t="s">
        <v>3917</v>
      </c>
      <c r="G361" t="s">
        <v>4912</v>
      </c>
    </row>
    <row r="362" spans="1:7" ht="11.25" customHeight="1">
      <c r="A362" s="310" t="s">
        <v>16</v>
      </c>
      <c r="B362" t="s">
        <v>4893</v>
      </c>
      <c r="C362" t="s">
        <v>4894</v>
      </c>
      <c r="D362" t="s">
        <v>4913</v>
      </c>
      <c r="E362" t="s">
        <v>4914</v>
      </c>
      <c r="F362" t="s">
        <v>3917</v>
      </c>
      <c r="G362" t="s">
        <v>4915</v>
      </c>
    </row>
    <row r="363" spans="1:7" ht="11.25" customHeight="1">
      <c r="A363" s="310" t="s">
        <v>16</v>
      </c>
      <c r="B363" t="s">
        <v>4893</v>
      </c>
      <c r="C363" t="s">
        <v>4894</v>
      </c>
      <c r="D363" t="s">
        <v>4916</v>
      </c>
      <c r="E363" t="s">
        <v>4917</v>
      </c>
      <c r="F363" t="s">
        <v>3917</v>
      </c>
      <c r="G363" t="s">
        <v>4918</v>
      </c>
    </row>
    <row r="364" spans="1:7" ht="11.25" customHeight="1">
      <c r="A364" s="310" t="s">
        <v>16</v>
      </c>
      <c r="B364" t="s">
        <v>4893</v>
      </c>
      <c r="C364" t="s">
        <v>4894</v>
      </c>
      <c r="D364" t="s">
        <v>4919</v>
      </c>
      <c r="E364" t="s">
        <v>4920</v>
      </c>
      <c r="F364" t="s">
        <v>3917</v>
      </c>
      <c r="G364" t="s">
        <v>4921</v>
      </c>
    </row>
    <row r="365" spans="1:7" ht="11.25" customHeight="1">
      <c r="A365" s="310" t="s">
        <v>16</v>
      </c>
      <c r="B365" t="s">
        <v>4893</v>
      </c>
      <c r="C365" t="s">
        <v>4894</v>
      </c>
      <c r="D365" t="s">
        <v>4922</v>
      </c>
      <c r="E365" t="s">
        <v>4923</v>
      </c>
      <c r="F365" t="s">
        <v>3917</v>
      </c>
      <c r="G365" t="s">
        <v>4924</v>
      </c>
    </row>
    <row r="366" spans="1:7" ht="11.25" customHeight="1">
      <c r="A366" s="310" t="s">
        <v>16</v>
      </c>
      <c r="B366" t="s">
        <v>4893</v>
      </c>
      <c r="C366" t="s">
        <v>4894</v>
      </c>
      <c r="D366" t="s">
        <v>4893</v>
      </c>
      <c r="E366" t="s">
        <v>4894</v>
      </c>
      <c r="F366" t="s">
        <v>3914</v>
      </c>
      <c r="G366" t="s">
        <v>4925</v>
      </c>
    </row>
    <row r="367" spans="1:7" ht="11.25" customHeight="1">
      <c r="A367" s="310" t="s">
        <v>16</v>
      </c>
      <c r="B367" t="s">
        <v>4893</v>
      </c>
      <c r="C367" t="s">
        <v>4894</v>
      </c>
      <c r="D367" t="s">
        <v>4926</v>
      </c>
      <c r="E367" t="s">
        <v>4927</v>
      </c>
      <c r="F367" t="s">
        <v>3917</v>
      </c>
      <c r="G367" t="s">
        <v>4928</v>
      </c>
    </row>
    <row r="368" spans="1:7" ht="11.25" customHeight="1">
      <c r="A368" s="310" t="s">
        <v>16</v>
      </c>
      <c r="B368" t="s">
        <v>4893</v>
      </c>
      <c r="C368" t="s">
        <v>4894</v>
      </c>
      <c r="D368" t="s">
        <v>4929</v>
      </c>
      <c r="E368" t="s">
        <v>4930</v>
      </c>
      <c r="F368" t="s">
        <v>3917</v>
      </c>
      <c r="G368" t="s">
        <v>4931</v>
      </c>
    </row>
    <row r="369" spans="1:7" ht="11.25" customHeight="1">
      <c r="A369" s="310" t="s">
        <v>16</v>
      </c>
      <c r="B369" t="s">
        <v>4893</v>
      </c>
      <c r="C369" t="s">
        <v>4894</v>
      </c>
      <c r="D369" t="s">
        <v>4932</v>
      </c>
      <c r="E369" t="s">
        <v>4933</v>
      </c>
      <c r="F369" t="s">
        <v>3917</v>
      </c>
      <c r="G369" t="s">
        <v>4934</v>
      </c>
    </row>
    <row r="370" spans="1:7" ht="11.25" customHeight="1">
      <c r="A370" s="310" t="s">
        <v>16</v>
      </c>
      <c r="B370" t="s">
        <v>4893</v>
      </c>
      <c r="C370" t="s">
        <v>4894</v>
      </c>
      <c r="D370" t="s">
        <v>4935</v>
      </c>
      <c r="E370" t="s">
        <v>4936</v>
      </c>
      <c r="F370" t="s">
        <v>3917</v>
      </c>
      <c r="G370" t="s">
        <v>4937</v>
      </c>
    </row>
    <row r="371" spans="1:7" ht="11.25" customHeight="1">
      <c r="A371" s="310" t="s">
        <v>16</v>
      </c>
      <c r="B371" t="s">
        <v>4893</v>
      </c>
      <c r="C371" t="s">
        <v>4894</v>
      </c>
      <c r="D371" t="s">
        <v>4938</v>
      </c>
      <c r="E371" t="s">
        <v>4939</v>
      </c>
      <c r="F371" t="s">
        <v>4083</v>
      </c>
      <c r="G371" t="s">
        <v>4940</v>
      </c>
    </row>
    <row r="372" spans="1:7" ht="11.25" customHeight="1">
      <c r="A372" s="310" t="s">
        <v>16</v>
      </c>
      <c r="B372" t="s">
        <v>4941</v>
      </c>
      <c r="C372" t="s">
        <v>4942</v>
      </c>
      <c r="D372" t="s">
        <v>4943</v>
      </c>
      <c r="E372" t="s">
        <v>4944</v>
      </c>
      <c r="F372" t="s">
        <v>3917</v>
      </c>
      <c r="G372" t="s">
        <v>4945</v>
      </c>
    </row>
    <row r="373" spans="1:7" ht="11.25" customHeight="1">
      <c r="A373" s="310" t="s">
        <v>16</v>
      </c>
      <c r="B373" t="s">
        <v>4941</v>
      </c>
      <c r="C373" t="s">
        <v>4942</v>
      </c>
      <c r="D373" t="s">
        <v>4946</v>
      </c>
      <c r="E373" t="s">
        <v>4947</v>
      </c>
      <c r="F373" t="s">
        <v>3917</v>
      </c>
      <c r="G373" t="s">
        <v>4948</v>
      </c>
    </row>
    <row r="374" spans="1:7" ht="11.25" customHeight="1">
      <c r="A374" s="310" t="s">
        <v>16</v>
      </c>
      <c r="B374" t="s">
        <v>4941</v>
      </c>
      <c r="C374" t="s">
        <v>4942</v>
      </c>
      <c r="D374" t="s">
        <v>4868</v>
      </c>
      <c r="E374" t="s">
        <v>4949</v>
      </c>
      <c r="F374" t="s">
        <v>3917</v>
      </c>
      <c r="G374" t="s">
        <v>4950</v>
      </c>
    </row>
    <row r="375" spans="1:7" ht="11.25" customHeight="1">
      <c r="A375" s="310" t="s">
        <v>16</v>
      </c>
      <c r="B375" t="s">
        <v>4941</v>
      </c>
      <c r="C375" t="s">
        <v>4942</v>
      </c>
      <c r="D375" t="s">
        <v>4369</v>
      </c>
      <c r="E375" t="s">
        <v>4951</v>
      </c>
      <c r="F375" t="s">
        <v>3917</v>
      </c>
      <c r="G375" t="s">
        <v>4952</v>
      </c>
    </row>
    <row r="376" spans="1:7" ht="11.25" customHeight="1">
      <c r="A376" s="310" t="s">
        <v>16</v>
      </c>
      <c r="B376" t="s">
        <v>4941</v>
      </c>
      <c r="C376" t="s">
        <v>4942</v>
      </c>
      <c r="D376" t="s">
        <v>4953</v>
      </c>
      <c r="E376" t="s">
        <v>4954</v>
      </c>
      <c r="F376" t="s">
        <v>3917</v>
      </c>
      <c r="G376" t="s">
        <v>4955</v>
      </c>
    </row>
    <row r="377" spans="1:7" ht="11.25" customHeight="1">
      <c r="A377" s="310" t="s">
        <v>16</v>
      </c>
      <c r="B377" t="s">
        <v>4941</v>
      </c>
      <c r="C377" t="s">
        <v>4942</v>
      </c>
      <c r="D377" t="s">
        <v>3922</v>
      </c>
      <c r="E377" t="s">
        <v>4956</v>
      </c>
      <c r="F377" t="s">
        <v>3917</v>
      </c>
      <c r="G377" t="s">
        <v>4957</v>
      </c>
    </row>
    <row r="378" spans="1:7" ht="11.25" customHeight="1">
      <c r="A378" s="310" t="s">
        <v>16</v>
      </c>
      <c r="B378" t="s">
        <v>4941</v>
      </c>
      <c r="C378" t="s">
        <v>4942</v>
      </c>
      <c r="D378" t="s">
        <v>4958</v>
      </c>
      <c r="E378" t="s">
        <v>4959</v>
      </c>
      <c r="F378" t="s">
        <v>3917</v>
      </c>
      <c r="G378" t="s">
        <v>4960</v>
      </c>
    </row>
    <row r="379" spans="1:7" ht="11.25" customHeight="1">
      <c r="A379" s="310" t="s">
        <v>16</v>
      </c>
      <c r="B379" t="s">
        <v>4941</v>
      </c>
      <c r="C379" t="s">
        <v>4942</v>
      </c>
      <c r="D379" t="s">
        <v>4961</v>
      </c>
      <c r="E379" t="s">
        <v>4962</v>
      </c>
      <c r="F379" t="s">
        <v>3917</v>
      </c>
      <c r="G379" t="s">
        <v>4963</v>
      </c>
    </row>
    <row r="380" spans="1:7" ht="11.25" customHeight="1">
      <c r="A380" s="310" t="s">
        <v>16</v>
      </c>
      <c r="B380" t="s">
        <v>4941</v>
      </c>
      <c r="C380" t="s">
        <v>4942</v>
      </c>
      <c r="D380" t="s">
        <v>4941</v>
      </c>
      <c r="E380" t="s">
        <v>4942</v>
      </c>
      <c r="F380" t="s">
        <v>3914</v>
      </c>
      <c r="G380" t="s">
        <v>4964</v>
      </c>
    </row>
    <row r="381" spans="1:7" ht="11.25" customHeight="1">
      <c r="A381" s="310" t="s">
        <v>16</v>
      </c>
      <c r="B381" t="s">
        <v>4941</v>
      </c>
      <c r="C381" t="s">
        <v>4942</v>
      </c>
      <c r="D381" t="s">
        <v>4965</v>
      </c>
      <c r="E381" t="s">
        <v>4966</v>
      </c>
      <c r="F381" t="s">
        <v>3917</v>
      </c>
      <c r="G381" t="s">
        <v>4967</v>
      </c>
    </row>
    <row r="382" spans="1:7" ht="11.25" customHeight="1">
      <c r="A382" s="310" t="s">
        <v>16</v>
      </c>
      <c r="B382" t="s">
        <v>4941</v>
      </c>
      <c r="C382" t="s">
        <v>4942</v>
      </c>
      <c r="D382" t="s">
        <v>4968</v>
      </c>
      <c r="E382" t="s">
        <v>4969</v>
      </c>
      <c r="F382" t="s">
        <v>3917</v>
      </c>
      <c r="G382" t="s">
        <v>4970</v>
      </c>
    </row>
    <row r="383" spans="1:7" ht="11.25" customHeight="1">
      <c r="A383" s="310" t="s">
        <v>16</v>
      </c>
      <c r="B383" t="s">
        <v>4941</v>
      </c>
      <c r="C383" t="s">
        <v>4942</v>
      </c>
      <c r="D383" t="s">
        <v>4971</v>
      </c>
      <c r="E383" t="s">
        <v>4972</v>
      </c>
      <c r="F383" t="s">
        <v>4083</v>
      </c>
      <c r="G383" t="s">
        <v>4973</v>
      </c>
    </row>
    <row r="384" spans="1:7" ht="11.25" customHeight="1">
      <c r="A384" s="310" t="s">
        <v>16</v>
      </c>
      <c r="B384" t="s">
        <v>4941</v>
      </c>
      <c r="C384" t="s">
        <v>4942</v>
      </c>
      <c r="D384" t="s">
        <v>4974</v>
      </c>
      <c r="E384" t="s">
        <v>4975</v>
      </c>
      <c r="F384" t="s">
        <v>3952</v>
      </c>
      <c r="G384" t="s">
        <v>4976</v>
      </c>
    </row>
    <row r="385" spans="1:7" ht="11.25" customHeight="1">
      <c r="A385" s="310" t="s">
        <v>16</v>
      </c>
      <c r="B385" t="s">
        <v>4977</v>
      </c>
      <c r="C385" t="s">
        <v>4978</v>
      </c>
      <c r="D385" t="s">
        <v>4979</v>
      </c>
      <c r="E385" t="s">
        <v>4980</v>
      </c>
      <c r="F385" t="s">
        <v>3917</v>
      </c>
      <c r="G385" t="s">
        <v>4981</v>
      </c>
    </row>
    <row r="386" spans="1:7" ht="11.25" customHeight="1">
      <c r="A386" s="310" t="s">
        <v>16</v>
      </c>
      <c r="B386" t="s">
        <v>4977</v>
      </c>
      <c r="C386" t="s">
        <v>4978</v>
      </c>
      <c r="D386" t="s">
        <v>4982</v>
      </c>
      <c r="E386" t="s">
        <v>4983</v>
      </c>
      <c r="F386" t="s">
        <v>3917</v>
      </c>
      <c r="G386" t="s">
        <v>4984</v>
      </c>
    </row>
    <row r="387" spans="1:7" ht="11.25" customHeight="1">
      <c r="A387" s="310" t="s">
        <v>16</v>
      </c>
      <c r="B387" t="s">
        <v>4977</v>
      </c>
      <c r="C387" t="s">
        <v>4978</v>
      </c>
      <c r="D387" t="s">
        <v>4985</v>
      </c>
      <c r="E387" t="s">
        <v>4986</v>
      </c>
      <c r="F387" t="s">
        <v>3917</v>
      </c>
      <c r="G387" t="s">
        <v>4987</v>
      </c>
    </row>
    <row r="388" spans="1:7" ht="11.25" customHeight="1">
      <c r="A388" s="310" t="s">
        <v>16</v>
      </c>
      <c r="B388" t="s">
        <v>4977</v>
      </c>
      <c r="C388" t="s">
        <v>4978</v>
      </c>
      <c r="D388" t="s">
        <v>4988</v>
      </c>
      <c r="E388" t="s">
        <v>4989</v>
      </c>
      <c r="F388" t="s">
        <v>3917</v>
      </c>
      <c r="G388" t="s">
        <v>4990</v>
      </c>
    </row>
    <row r="389" spans="1:7" ht="11.25" customHeight="1">
      <c r="A389" s="310" t="s">
        <v>16</v>
      </c>
      <c r="B389" t="s">
        <v>4977</v>
      </c>
      <c r="C389" t="s">
        <v>4978</v>
      </c>
      <c r="D389" t="s">
        <v>4991</v>
      </c>
      <c r="E389" t="s">
        <v>4992</v>
      </c>
      <c r="F389" t="s">
        <v>3917</v>
      </c>
      <c r="G389" t="s">
        <v>4993</v>
      </c>
    </row>
    <row r="390" spans="1:7" ht="11.25" customHeight="1">
      <c r="A390" s="310" t="s">
        <v>16</v>
      </c>
      <c r="B390" t="s">
        <v>4977</v>
      </c>
      <c r="C390" t="s">
        <v>4978</v>
      </c>
      <c r="D390" t="s">
        <v>4994</v>
      </c>
      <c r="E390" t="s">
        <v>4995</v>
      </c>
      <c r="F390" t="s">
        <v>3917</v>
      </c>
      <c r="G390" t="s">
        <v>4996</v>
      </c>
    </row>
    <row r="391" spans="1:7" ht="11.25" customHeight="1">
      <c r="A391" s="310" t="s">
        <v>16</v>
      </c>
      <c r="B391" t="s">
        <v>4977</v>
      </c>
      <c r="C391" t="s">
        <v>4978</v>
      </c>
      <c r="D391" t="s">
        <v>4997</v>
      </c>
      <c r="E391" t="s">
        <v>4998</v>
      </c>
      <c r="F391" t="s">
        <v>3917</v>
      </c>
      <c r="G391" t="s">
        <v>4999</v>
      </c>
    </row>
    <row r="392" spans="1:7" ht="11.25" customHeight="1">
      <c r="A392" s="310" t="s">
        <v>16</v>
      </c>
      <c r="B392" t="s">
        <v>4977</v>
      </c>
      <c r="C392" t="s">
        <v>4978</v>
      </c>
      <c r="D392" t="s">
        <v>4158</v>
      </c>
      <c r="E392" t="s">
        <v>5000</v>
      </c>
      <c r="F392" t="s">
        <v>3917</v>
      </c>
      <c r="G392" t="s">
        <v>5001</v>
      </c>
    </row>
    <row r="393" spans="1:7" ht="11.25" customHeight="1">
      <c r="A393" s="310" t="s">
        <v>16</v>
      </c>
      <c r="B393" t="s">
        <v>4977</v>
      </c>
      <c r="C393" t="s">
        <v>4978</v>
      </c>
      <c r="D393" t="s">
        <v>5002</v>
      </c>
      <c r="E393" t="s">
        <v>5003</v>
      </c>
      <c r="F393" t="s">
        <v>3917</v>
      </c>
      <c r="G393" t="s">
        <v>5004</v>
      </c>
    </row>
    <row r="394" spans="1:7" ht="11.25" customHeight="1">
      <c r="A394" s="310" t="s">
        <v>16</v>
      </c>
      <c r="B394" t="s">
        <v>4977</v>
      </c>
      <c r="C394" t="s">
        <v>4978</v>
      </c>
      <c r="D394" t="s">
        <v>5005</v>
      </c>
      <c r="E394" t="s">
        <v>5006</v>
      </c>
      <c r="F394" t="s">
        <v>3917</v>
      </c>
      <c r="G394" t="s">
        <v>5007</v>
      </c>
    </row>
    <row r="395" spans="1:7" ht="11.25" customHeight="1">
      <c r="A395" s="310" t="s">
        <v>16</v>
      </c>
      <c r="B395" t="s">
        <v>4977</v>
      </c>
      <c r="C395" t="s">
        <v>4978</v>
      </c>
      <c r="D395" t="s">
        <v>5008</v>
      </c>
      <c r="E395" t="s">
        <v>5009</v>
      </c>
      <c r="F395" t="s">
        <v>3917</v>
      </c>
      <c r="G395" t="s">
        <v>5010</v>
      </c>
    </row>
    <row r="396" spans="1:7" ht="11.25" customHeight="1">
      <c r="A396" s="310" t="s">
        <v>16</v>
      </c>
      <c r="B396" t="s">
        <v>4977</v>
      </c>
      <c r="C396" t="s">
        <v>4978</v>
      </c>
      <c r="D396" t="s">
        <v>5011</v>
      </c>
      <c r="E396" t="s">
        <v>5012</v>
      </c>
      <c r="F396" t="s">
        <v>3917</v>
      </c>
      <c r="G396" t="s">
        <v>5013</v>
      </c>
    </row>
    <row r="397" spans="1:7" ht="11.25" customHeight="1">
      <c r="A397" s="310" t="s">
        <v>16</v>
      </c>
      <c r="B397" t="s">
        <v>4977</v>
      </c>
      <c r="C397" t="s">
        <v>4978</v>
      </c>
      <c r="D397" t="s">
        <v>5014</v>
      </c>
      <c r="E397" t="s">
        <v>5015</v>
      </c>
      <c r="F397" t="s">
        <v>3917</v>
      </c>
      <c r="G397" t="s">
        <v>5016</v>
      </c>
    </row>
    <row r="398" spans="1:7" ht="11.25" customHeight="1">
      <c r="A398" s="310" t="s">
        <v>16</v>
      </c>
      <c r="B398" t="s">
        <v>4977</v>
      </c>
      <c r="C398" t="s">
        <v>4978</v>
      </c>
      <c r="D398" t="s">
        <v>5017</v>
      </c>
      <c r="E398" t="s">
        <v>5018</v>
      </c>
      <c r="F398" t="s">
        <v>3917</v>
      </c>
      <c r="G398" t="s">
        <v>5019</v>
      </c>
    </row>
    <row r="399" spans="1:7" ht="11.25" customHeight="1">
      <c r="A399" s="310" t="s">
        <v>16</v>
      </c>
      <c r="B399" t="s">
        <v>4977</v>
      </c>
      <c r="C399" t="s">
        <v>4978</v>
      </c>
      <c r="D399" t="s">
        <v>4977</v>
      </c>
      <c r="E399" t="s">
        <v>4978</v>
      </c>
      <c r="F399" t="s">
        <v>3914</v>
      </c>
      <c r="G399" t="s">
        <v>5020</v>
      </c>
    </row>
    <row r="400" spans="1:7" ht="11.25" customHeight="1">
      <c r="A400" s="310" t="s">
        <v>16</v>
      </c>
      <c r="B400" t="s">
        <v>4977</v>
      </c>
      <c r="C400" t="s">
        <v>4978</v>
      </c>
      <c r="D400" t="s">
        <v>5021</v>
      </c>
      <c r="E400" t="s">
        <v>5022</v>
      </c>
      <c r="F400" t="s">
        <v>3917</v>
      </c>
      <c r="G400" t="s">
        <v>5023</v>
      </c>
    </row>
    <row r="401" spans="1:7" ht="11.25" customHeight="1">
      <c r="A401" s="310" t="s">
        <v>16</v>
      </c>
      <c r="B401" t="s">
        <v>4977</v>
      </c>
      <c r="C401" t="s">
        <v>4978</v>
      </c>
      <c r="D401" t="s">
        <v>5024</v>
      </c>
      <c r="E401" t="s">
        <v>5025</v>
      </c>
      <c r="F401" t="s">
        <v>3917</v>
      </c>
      <c r="G401" t="s">
        <v>5026</v>
      </c>
    </row>
    <row r="402" spans="1:7" ht="11.25" customHeight="1">
      <c r="A402" s="310" t="s">
        <v>16</v>
      </c>
      <c r="B402" t="s">
        <v>4977</v>
      </c>
      <c r="C402" t="s">
        <v>4978</v>
      </c>
      <c r="D402" t="s">
        <v>5027</v>
      </c>
      <c r="E402" t="s">
        <v>5028</v>
      </c>
      <c r="F402" t="s">
        <v>3917</v>
      </c>
      <c r="G402" t="s">
        <v>5029</v>
      </c>
    </row>
    <row r="403" spans="1:7" ht="11.25" customHeight="1">
      <c r="A403" s="310" t="s">
        <v>16</v>
      </c>
      <c r="B403" t="s">
        <v>4977</v>
      </c>
      <c r="C403" t="s">
        <v>4978</v>
      </c>
      <c r="D403" t="s">
        <v>5030</v>
      </c>
      <c r="E403" t="s">
        <v>5031</v>
      </c>
      <c r="F403" t="s">
        <v>3917</v>
      </c>
      <c r="G403" t="s">
        <v>5032</v>
      </c>
    </row>
    <row r="404" spans="1:7" ht="11.25" customHeight="1">
      <c r="A404" s="310" t="s">
        <v>16</v>
      </c>
      <c r="B404" t="s">
        <v>5033</v>
      </c>
      <c r="C404" t="s">
        <v>5034</v>
      </c>
      <c r="D404" t="s">
        <v>5035</v>
      </c>
      <c r="E404" t="s">
        <v>5036</v>
      </c>
      <c r="F404" t="s">
        <v>3917</v>
      </c>
      <c r="G404" t="s">
        <v>5037</v>
      </c>
    </row>
    <row r="405" spans="1:7" ht="11.25" customHeight="1">
      <c r="A405" s="310" t="s">
        <v>16</v>
      </c>
      <c r="B405" t="s">
        <v>5033</v>
      </c>
      <c r="C405" t="s">
        <v>5034</v>
      </c>
      <c r="D405" t="s">
        <v>5038</v>
      </c>
      <c r="E405" t="s">
        <v>5039</v>
      </c>
      <c r="F405" t="s">
        <v>3917</v>
      </c>
      <c r="G405" t="s">
        <v>5040</v>
      </c>
    </row>
    <row r="406" spans="1:7" ht="11.25" customHeight="1">
      <c r="A406" s="310" t="s">
        <v>16</v>
      </c>
      <c r="B406" t="s">
        <v>5033</v>
      </c>
      <c r="C406" t="s">
        <v>5034</v>
      </c>
      <c r="D406" t="s">
        <v>5041</v>
      </c>
      <c r="E406" t="s">
        <v>5042</v>
      </c>
      <c r="F406" t="s">
        <v>3917</v>
      </c>
      <c r="G406" t="s">
        <v>5043</v>
      </c>
    </row>
    <row r="407" spans="1:7" ht="11.25" customHeight="1">
      <c r="A407" s="310" t="s">
        <v>16</v>
      </c>
      <c r="B407" t="s">
        <v>5033</v>
      </c>
      <c r="C407" t="s">
        <v>5034</v>
      </c>
      <c r="D407" t="s">
        <v>4196</v>
      </c>
      <c r="E407" t="s">
        <v>5044</v>
      </c>
      <c r="F407" t="s">
        <v>3917</v>
      </c>
      <c r="G407" t="s">
        <v>5045</v>
      </c>
    </row>
    <row r="408" spans="1:7" ht="11.25" customHeight="1">
      <c r="A408" s="310" t="s">
        <v>16</v>
      </c>
      <c r="B408" t="s">
        <v>5033</v>
      </c>
      <c r="C408" t="s">
        <v>5034</v>
      </c>
      <c r="D408" t="s">
        <v>5046</v>
      </c>
      <c r="E408" t="s">
        <v>5047</v>
      </c>
      <c r="F408" t="s">
        <v>3917</v>
      </c>
      <c r="G408" t="s">
        <v>5048</v>
      </c>
    </row>
    <row r="409" spans="1:7" ht="11.25" customHeight="1">
      <c r="A409" s="310" t="s">
        <v>16</v>
      </c>
      <c r="B409" t="s">
        <v>5033</v>
      </c>
      <c r="C409" t="s">
        <v>5034</v>
      </c>
      <c r="D409" t="s">
        <v>5049</v>
      </c>
      <c r="E409" t="s">
        <v>5050</v>
      </c>
      <c r="F409" t="s">
        <v>3917</v>
      </c>
      <c r="G409" t="s">
        <v>5051</v>
      </c>
    </row>
    <row r="410" spans="1:7" ht="11.25" customHeight="1">
      <c r="A410" s="310" t="s">
        <v>16</v>
      </c>
      <c r="B410" t="s">
        <v>5033</v>
      </c>
      <c r="C410" t="s">
        <v>5034</v>
      </c>
      <c r="D410" t="s">
        <v>5052</v>
      </c>
      <c r="E410" t="s">
        <v>5053</v>
      </c>
      <c r="F410" t="s">
        <v>3917</v>
      </c>
      <c r="G410" t="s">
        <v>5054</v>
      </c>
    </row>
    <row r="411" spans="1:7" ht="11.25" customHeight="1">
      <c r="A411" s="310" t="s">
        <v>16</v>
      </c>
      <c r="B411" t="s">
        <v>5033</v>
      </c>
      <c r="C411" t="s">
        <v>5034</v>
      </c>
      <c r="D411" t="s">
        <v>5055</v>
      </c>
      <c r="E411" t="s">
        <v>5056</v>
      </c>
      <c r="F411" t="s">
        <v>3917</v>
      </c>
      <c r="G411" t="s">
        <v>5057</v>
      </c>
    </row>
    <row r="412" spans="1:7" ht="11.25" customHeight="1">
      <c r="A412" s="310" t="s">
        <v>16</v>
      </c>
      <c r="B412" t="s">
        <v>5033</v>
      </c>
      <c r="C412" t="s">
        <v>5034</v>
      </c>
      <c r="D412" t="s">
        <v>5058</v>
      </c>
      <c r="E412" t="s">
        <v>5059</v>
      </c>
      <c r="F412" t="s">
        <v>3917</v>
      </c>
      <c r="G412" t="s">
        <v>5060</v>
      </c>
    </row>
    <row r="413" spans="1:7" ht="11.25" customHeight="1">
      <c r="A413" s="310" t="s">
        <v>16</v>
      </c>
      <c r="B413" t="s">
        <v>5033</v>
      </c>
      <c r="C413" t="s">
        <v>5034</v>
      </c>
      <c r="D413" t="s">
        <v>5033</v>
      </c>
      <c r="E413" t="s">
        <v>5034</v>
      </c>
      <c r="F413" t="s">
        <v>3914</v>
      </c>
      <c r="G413" t="s">
        <v>5061</v>
      </c>
    </row>
    <row r="414" spans="1:7" ht="11.25" customHeight="1">
      <c r="A414" s="310" t="s">
        <v>16</v>
      </c>
      <c r="B414" t="s">
        <v>5033</v>
      </c>
      <c r="C414" t="s">
        <v>5034</v>
      </c>
      <c r="D414" t="s">
        <v>5062</v>
      </c>
      <c r="E414" t="s">
        <v>5063</v>
      </c>
      <c r="F414" t="s">
        <v>3917</v>
      </c>
      <c r="G414" t="s">
        <v>5064</v>
      </c>
    </row>
    <row r="415" spans="1:7" ht="11.25" customHeight="1">
      <c r="A415" s="310" t="s">
        <v>16</v>
      </c>
      <c r="B415" t="s">
        <v>5033</v>
      </c>
      <c r="C415" t="s">
        <v>5034</v>
      </c>
      <c r="D415" t="s">
        <v>5065</v>
      </c>
      <c r="E415" t="s">
        <v>5066</v>
      </c>
      <c r="F415" t="s">
        <v>4083</v>
      </c>
      <c r="G415" t="s">
        <v>5067</v>
      </c>
    </row>
    <row r="416" spans="1:7" ht="11.25" customHeight="1">
      <c r="A416" s="310" t="s">
        <v>16</v>
      </c>
      <c r="B416" t="s">
        <v>5068</v>
      </c>
      <c r="C416" t="s">
        <v>5069</v>
      </c>
      <c r="D416" t="s">
        <v>5070</v>
      </c>
      <c r="E416" t="s">
        <v>5071</v>
      </c>
      <c r="F416" t="s">
        <v>3917</v>
      </c>
      <c r="G416" t="s">
        <v>5072</v>
      </c>
    </row>
    <row r="417" spans="1:7" ht="11.25" customHeight="1">
      <c r="A417" s="310" t="s">
        <v>16</v>
      </c>
      <c r="B417" t="s">
        <v>5068</v>
      </c>
      <c r="C417" t="s">
        <v>5069</v>
      </c>
      <c r="D417" t="s">
        <v>5073</v>
      </c>
      <c r="E417" t="s">
        <v>5074</v>
      </c>
      <c r="F417" t="s">
        <v>3917</v>
      </c>
      <c r="G417" t="s">
        <v>5075</v>
      </c>
    </row>
    <row r="418" spans="1:7" ht="11.25" customHeight="1">
      <c r="A418" s="310" t="s">
        <v>16</v>
      </c>
      <c r="B418" t="s">
        <v>5068</v>
      </c>
      <c r="C418" t="s">
        <v>5069</v>
      </c>
      <c r="D418" t="s">
        <v>5076</v>
      </c>
      <c r="E418" t="s">
        <v>5077</v>
      </c>
      <c r="F418" t="s">
        <v>3917</v>
      </c>
      <c r="G418" t="s">
        <v>5078</v>
      </c>
    </row>
    <row r="419" spans="1:7" ht="11.25" customHeight="1">
      <c r="A419" s="310" t="s">
        <v>16</v>
      </c>
      <c r="B419" t="s">
        <v>5068</v>
      </c>
      <c r="C419" t="s">
        <v>5069</v>
      </c>
      <c r="D419" t="s">
        <v>5079</v>
      </c>
      <c r="E419" t="s">
        <v>5080</v>
      </c>
      <c r="F419" t="s">
        <v>3917</v>
      </c>
      <c r="G419" t="s">
        <v>5081</v>
      </c>
    </row>
    <row r="420" spans="1:7" ht="11.25" customHeight="1">
      <c r="A420" s="310" t="s">
        <v>16</v>
      </c>
      <c r="B420" t="s">
        <v>5068</v>
      </c>
      <c r="C420" t="s">
        <v>5069</v>
      </c>
      <c r="D420" t="s">
        <v>5082</v>
      </c>
      <c r="E420" t="s">
        <v>5083</v>
      </c>
      <c r="F420" t="s">
        <v>3917</v>
      </c>
      <c r="G420" t="s">
        <v>5084</v>
      </c>
    </row>
    <row r="421" spans="1:7" ht="11.25" customHeight="1">
      <c r="A421" s="310" t="s">
        <v>16</v>
      </c>
      <c r="B421" t="s">
        <v>5068</v>
      </c>
      <c r="C421" t="s">
        <v>5069</v>
      </c>
      <c r="D421" t="s">
        <v>5085</v>
      </c>
      <c r="E421" t="s">
        <v>5086</v>
      </c>
      <c r="F421" t="s">
        <v>3917</v>
      </c>
      <c r="G421" t="s">
        <v>5087</v>
      </c>
    </row>
    <row r="422" spans="1:7" ht="11.25" customHeight="1">
      <c r="A422" s="310" t="s">
        <v>16</v>
      </c>
      <c r="B422" t="s">
        <v>5068</v>
      </c>
      <c r="C422" t="s">
        <v>5069</v>
      </c>
      <c r="D422" t="s">
        <v>5041</v>
      </c>
      <c r="E422" t="s">
        <v>5088</v>
      </c>
      <c r="F422" t="s">
        <v>3917</v>
      </c>
      <c r="G422" t="s">
        <v>5089</v>
      </c>
    </row>
    <row r="423" spans="1:7" ht="11.25" customHeight="1">
      <c r="A423" s="310" t="s">
        <v>16</v>
      </c>
      <c r="B423" t="s">
        <v>5068</v>
      </c>
      <c r="C423" t="s">
        <v>5069</v>
      </c>
      <c r="D423" t="s">
        <v>4101</v>
      </c>
      <c r="E423" t="s">
        <v>5090</v>
      </c>
      <c r="F423" t="s">
        <v>3917</v>
      </c>
      <c r="G423" t="s">
        <v>5091</v>
      </c>
    </row>
    <row r="424" spans="1:7" ht="11.25" customHeight="1">
      <c r="A424" s="310" t="s">
        <v>16</v>
      </c>
      <c r="B424" t="s">
        <v>5068</v>
      </c>
      <c r="C424" t="s">
        <v>5069</v>
      </c>
      <c r="D424" t="s">
        <v>5092</v>
      </c>
      <c r="E424" t="s">
        <v>5093</v>
      </c>
      <c r="F424" t="s">
        <v>3917</v>
      </c>
      <c r="G424" t="s">
        <v>5094</v>
      </c>
    </row>
    <row r="425" spans="1:7" ht="11.25" customHeight="1">
      <c r="A425" s="310" t="s">
        <v>16</v>
      </c>
      <c r="B425" t="s">
        <v>5068</v>
      </c>
      <c r="C425" t="s">
        <v>5069</v>
      </c>
      <c r="D425" t="s">
        <v>5095</v>
      </c>
      <c r="E425" t="s">
        <v>5096</v>
      </c>
      <c r="F425" t="s">
        <v>3917</v>
      </c>
      <c r="G425" t="s">
        <v>5097</v>
      </c>
    </row>
    <row r="426" spans="1:7" ht="11.25" customHeight="1">
      <c r="A426" s="310" t="s">
        <v>16</v>
      </c>
      <c r="B426" t="s">
        <v>5068</v>
      </c>
      <c r="C426" t="s">
        <v>5069</v>
      </c>
      <c r="D426" t="s">
        <v>5098</v>
      </c>
      <c r="E426" t="s">
        <v>5099</v>
      </c>
      <c r="F426" t="s">
        <v>3917</v>
      </c>
      <c r="G426" t="s">
        <v>5100</v>
      </c>
    </row>
    <row r="427" spans="1:7" ht="11.25" customHeight="1">
      <c r="A427" s="310" t="s">
        <v>16</v>
      </c>
      <c r="B427" t="s">
        <v>5068</v>
      </c>
      <c r="C427" t="s">
        <v>5069</v>
      </c>
      <c r="D427" t="s">
        <v>4476</v>
      </c>
      <c r="E427" t="s">
        <v>5101</v>
      </c>
      <c r="F427" t="s">
        <v>3917</v>
      </c>
      <c r="G427" t="s">
        <v>5102</v>
      </c>
    </row>
    <row r="428" spans="1:7" ht="11.25" customHeight="1">
      <c r="A428" s="310" t="s">
        <v>16</v>
      </c>
      <c r="B428" t="s">
        <v>5068</v>
      </c>
      <c r="C428" t="s">
        <v>5069</v>
      </c>
      <c r="D428" t="s">
        <v>5103</v>
      </c>
      <c r="E428" t="s">
        <v>5104</v>
      </c>
      <c r="F428" t="s">
        <v>3917</v>
      </c>
      <c r="G428" t="s">
        <v>5105</v>
      </c>
    </row>
    <row r="429" spans="1:7" ht="11.25" customHeight="1">
      <c r="A429" s="310" t="s">
        <v>16</v>
      </c>
      <c r="B429" t="s">
        <v>5068</v>
      </c>
      <c r="C429" t="s">
        <v>5069</v>
      </c>
      <c r="D429" t="s">
        <v>5106</v>
      </c>
      <c r="E429" t="s">
        <v>5107</v>
      </c>
      <c r="F429" t="s">
        <v>3917</v>
      </c>
      <c r="G429" t="s">
        <v>5108</v>
      </c>
    </row>
    <row r="430" spans="1:7" ht="11.25" customHeight="1">
      <c r="A430" s="310" t="s">
        <v>16</v>
      </c>
      <c r="B430" t="s">
        <v>5068</v>
      </c>
      <c r="C430" t="s">
        <v>5069</v>
      </c>
      <c r="D430" t="s">
        <v>5109</v>
      </c>
      <c r="E430" t="s">
        <v>5110</v>
      </c>
      <c r="F430" t="s">
        <v>3917</v>
      </c>
      <c r="G430" t="s">
        <v>5111</v>
      </c>
    </row>
    <row r="431" spans="1:7" ht="11.25" customHeight="1">
      <c r="A431" s="310" t="s">
        <v>16</v>
      </c>
      <c r="B431" t="s">
        <v>5068</v>
      </c>
      <c r="C431" t="s">
        <v>5069</v>
      </c>
      <c r="D431" t="s">
        <v>5112</v>
      </c>
      <c r="E431" t="s">
        <v>5113</v>
      </c>
      <c r="F431" t="s">
        <v>3917</v>
      </c>
      <c r="G431" t="s">
        <v>5114</v>
      </c>
    </row>
    <row r="432" spans="1:7" ht="11.25" customHeight="1">
      <c r="A432" s="310" t="s">
        <v>16</v>
      </c>
      <c r="B432" t="s">
        <v>5068</v>
      </c>
      <c r="C432" t="s">
        <v>5069</v>
      </c>
      <c r="D432" t="s">
        <v>5115</v>
      </c>
      <c r="E432" t="s">
        <v>5116</v>
      </c>
      <c r="F432" t="s">
        <v>3917</v>
      </c>
      <c r="G432" t="s">
        <v>5117</v>
      </c>
    </row>
    <row r="433" spans="1:7" ht="11.25" customHeight="1">
      <c r="A433" s="310" t="s">
        <v>16</v>
      </c>
      <c r="B433" t="s">
        <v>5068</v>
      </c>
      <c r="C433" t="s">
        <v>5069</v>
      </c>
      <c r="D433" t="s">
        <v>5118</v>
      </c>
      <c r="E433" t="s">
        <v>5119</v>
      </c>
      <c r="F433" t="s">
        <v>3917</v>
      </c>
      <c r="G433" t="s">
        <v>5120</v>
      </c>
    </row>
    <row r="434" spans="1:7" ht="11.25" customHeight="1">
      <c r="A434" s="310" t="s">
        <v>16</v>
      </c>
      <c r="B434" t="s">
        <v>5068</v>
      </c>
      <c r="C434" t="s">
        <v>5069</v>
      </c>
      <c r="D434" t="s">
        <v>5121</v>
      </c>
      <c r="E434" t="s">
        <v>5122</v>
      </c>
      <c r="F434" t="s">
        <v>3917</v>
      </c>
      <c r="G434" t="s">
        <v>5123</v>
      </c>
    </row>
    <row r="435" spans="1:7" ht="11.25" customHeight="1">
      <c r="A435" s="310" t="s">
        <v>16</v>
      </c>
      <c r="B435" t="s">
        <v>5068</v>
      </c>
      <c r="C435" t="s">
        <v>5069</v>
      </c>
      <c r="D435" t="s">
        <v>5068</v>
      </c>
      <c r="E435" t="s">
        <v>5069</v>
      </c>
      <c r="F435" t="s">
        <v>3914</v>
      </c>
      <c r="G435" t="s">
        <v>5124</v>
      </c>
    </row>
    <row r="436" spans="1:7" ht="11.25" customHeight="1">
      <c r="A436" s="310" t="s">
        <v>16</v>
      </c>
      <c r="B436" t="s">
        <v>5068</v>
      </c>
      <c r="C436" t="s">
        <v>5069</v>
      </c>
      <c r="D436" t="s">
        <v>5125</v>
      </c>
      <c r="E436" t="s">
        <v>5126</v>
      </c>
      <c r="F436" t="s">
        <v>3917</v>
      </c>
      <c r="G436" t="s">
        <v>5127</v>
      </c>
    </row>
    <row r="437" spans="1:7" ht="11.25" customHeight="1">
      <c r="A437" s="310" t="s">
        <v>16</v>
      </c>
      <c r="B437" t="s">
        <v>5128</v>
      </c>
      <c r="C437" t="s">
        <v>5129</v>
      </c>
      <c r="D437" t="s">
        <v>5130</v>
      </c>
      <c r="E437" t="s">
        <v>5131</v>
      </c>
      <c r="F437" t="s">
        <v>3917</v>
      </c>
      <c r="G437" t="s">
        <v>5132</v>
      </c>
    </row>
    <row r="438" spans="1:7" ht="11.25" customHeight="1">
      <c r="A438" s="310" t="s">
        <v>16</v>
      </c>
      <c r="B438" t="s">
        <v>5128</v>
      </c>
      <c r="C438" t="s">
        <v>5129</v>
      </c>
      <c r="D438" t="s">
        <v>5133</v>
      </c>
      <c r="E438" t="s">
        <v>5134</v>
      </c>
      <c r="F438" t="s">
        <v>3917</v>
      </c>
      <c r="G438" t="s">
        <v>5135</v>
      </c>
    </row>
    <row r="439" spans="1:7" ht="11.25" customHeight="1">
      <c r="A439" s="310" t="s">
        <v>16</v>
      </c>
      <c r="B439" t="s">
        <v>5128</v>
      </c>
      <c r="C439" t="s">
        <v>5129</v>
      </c>
      <c r="D439" t="s">
        <v>5136</v>
      </c>
      <c r="E439" t="s">
        <v>5137</v>
      </c>
      <c r="F439" t="s">
        <v>3917</v>
      </c>
      <c r="G439" t="s">
        <v>5138</v>
      </c>
    </row>
    <row r="440" spans="1:7" ht="11.25" customHeight="1">
      <c r="A440" s="310" t="s">
        <v>16</v>
      </c>
      <c r="B440" t="s">
        <v>5128</v>
      </c>
      <c r="C440" t="s">
        <v>5129</v>
      </c>
      <c r="D440" t="s">
        <v>5139</v>
      </c>
      <c r="E440" t="s">
        <v>5140</v>
      </c>
      <c r="F440" t="s">
        <v>3917</v>
      </c>
      <c r="G440" t="s">
        <v>5141</v>
      </c>
    </row>
    <row r="441" spans="1:7" ht="11.25" customHeight="1">
      <c r="A441" s="310" t="s">
        <v>16</v>
      </c>
      <c r="B441" t="s">
        <v>5128</v>
      </c>
      <c r="C441" t="s">
        <v>5129</v>
      </c>
      <c r="D441" t="s">
        <v>5142</v>
      </c>
      <c r="E441" t="s">
        <v>5143</v>
      </c>
      <c r="F441" t="s">
        <v>3917</v>
      </c>
      <c r="G441" t="s">
        <v>5144</v>
      </c>
    </row>
    <row r="442" spans="1:7" ht="11.25" customHeight="1">
      <c r="A442" s="310" t="s">
        <v>16</v>
      </c>
      <c r="B442" t="s">
        <v>5128</v>
      </c>
      <c r="C442" t="s">
        <v>5129</v>
      </c>
      <c r="D442" t="s">
        <v>5145</v>
      </c>
      <c r="E442" t="s">
        <v>5146</v>
      </c>
      <c r="F442" t="s">
        <v>3917</v>
      </c>
      <c r="G442" t="s">
        <v>5147</v>
      </c>
    </row>
    <row r="443" spans="1:7" ht="11.25" customHeight="1">
      <c r="A443" s="310" t="s">
        <v>16</v>
      </c>
      <c r="B443" t="s">
        <v>5128</v>
      </c>
      <c r="C443" t="s">
        <v>5129</v>
      </c>
      <c r="D443" t="s">
        <v>5148</v>
      </c>
      <c r="E443" t="s">
        <v>5149</v>
      </c>
      <c r="F443" t="s">
        <v>3917</v>
      </c>
      <c r="G443" t="s">
        <v>5150</v>
      </c>
    </row>
    <row r="444" spans="1:7" ht="11.25" customHeight="1">
      <c r="A444" s="310" t="s">
        <v>16</v>
      </c>
      <c r="B444" t="s">
        <v>5128</v>
      </c>
      <c r="C444" t="s">
        <v>5129</v>
      </c>
      <c r="D444" t="s">
        <v>5151</v>
      </c>
      <c r="E444" t="s">
        <v>5152</v>
      </c>
      <c r="F444" t="s">
        <v>3917</v>
      </c>
      <c r="G444" t="s">
        <v>5153</v>
      </c>
    </row>
    <row r="445" spans="1:7" ht="11.25" customHeight="1">
      <c r="A445" s="310" t="s">
        <v>16</v>
      </c>
      <c r="B445" t="s">
        <v>5128</v>
      </c>
      <c r="C445" t="s">
        <v>5129</v>
      </c>
      <c r="D445" t="s">
        <v>5154</v>
      </c>
      <c r="E445" t="s">
        <v>5155</v>
      </c>
      <c r="F445" t="s">
        <v>3917</v>
      </c>
      <c r="G445" t="s">
        <v>5156</v>
      </c>
    </row>
    <row r="446" spans="1:7" ht="11.25" customHeight="1">
      <c r="A446" s="310" t="s">
        <v>16</v>
      </c>
      <c r="B446" t="s">
        <v>5128</v>
      </c>
      <c r="C446" t="s">
        <v>5129</v>
      </c>
      <c r="D446" t="s">
        <v>4129</v>
      </c>
      <c r="E446" t="s">
        <v>5157</v>
      </c>
      <c r="F446" t="s">
        <v>3917</v>
      </c>
      <c r="G446" t="s">
        <v>5158</v>
      </c>
    </row>
    <row r="447" spans="1:7" ht="11.25" customHeight="1">
      <c r="A447" s="310" t="s">
        <v>16</v>
      </c>
      <c r="B447" t="s">
        <v>5128</v>
      </c>
      <c r="C447" t="s">
        <v>5129</v>
      </c>
      <c r="D447" t="s">
        <v>5128</v>
      </c>
      <c r="E447" t="s">
        <v>5129</v>
      </c>
      <c r="F447" t="s">
        <v>3914</v>
      </c>
      <c r="G447" t="s">
        <v>5159</v>
      </c>
    </row>
    <row r="448" spans="1:7" ht="11.25" customHeight="1">
      <c r="A448" s="310" t="s">
        <v>16</v>
      </c>
      <c r="B448" t="s">
        <v>5128</v>
      </c>
      <c r="C448" t="s">
        <v>5129</v>
      </c>
      <c r="D448" t="s">
        <v>5160</v>
      </c>
      <c r="E448" t="s">
        <v>5161</v>
      </c>
      <c r="F448" t="s">
        <v>3917</v>
      </c>
      <c r="G448" t="s">
        <v>5162</v>
      </c>
    </row>
    <row r="449" spans="1:7" ht="11.25" customHeight="1">
      <c r="A449" s="310" t="s">
        <v>16</v>
      </c>
      <c r="B449" t="s">
        <v>5163</v>
      </c>
      <c r="C449" t="s">
        <v>5164</v>
      </c>
      <c r="D449" t="s">
        <v>5165</v>
      </c>
      <c r="E449" t="s">
        <v>5166</v>
      </c>
      <c r="F449" t="s">
        <v>3917</v>
      </c>
      <c r="G449" t="s">
        <v>5167</v>
      </c>
    </row>
    <row r="450" spans="1:7" ht="11.25" customHeight="1">
      <c r="A450" s="310" t="s">
        <v>16</v>
      </c>
      <c r="B450" t="s">
        <v>5163</v>
      </c>
      <c r="C450" t="s">
        <v>5164</v>
      </c>
      <c r="D450" t="s">
        <v>5168</v>
      </c>
      <c r="E450" t="s">
        <v>5169</v>
      </c>
      <c r="F450" t="s">
        <v>3917</v>
      </c>
      <c r="G450" t="s">
        <v>5170</v>
      </c>
    </row>
    <row r="451" spans="1:7" ht="11.25" customHeight="1">
      <c r="A451" s="310" t="s">
        <v>16</v>
      </c>
      <c r="B451" t="s">
        <v>5163</v>
      </c>
      <c r="C451" t="s">
        <v>5164</v>
      </c>
      <c r="D451" t="s">
        <v>5171</v>
      </c>
      <c r="E451" t="s">
        <v>5172</v>
      </c>
      <c r="F451" t="s">
        <v>3917</v>
      </c>
      <c r="G451" t="s">
        <v>5173</v>
      </c>
    </row>
    <row r="452" spans="1:7" ht="11.25" customHeight="1">
      <c r="A452" s="310" t="s">
        <v>16</v>
      </c>
      <c r="B452" t="s">
        <v>5163</v>
      </c>
      <c r="C452" t="s">
        <v>5164</v>
      </c>
      <c r="D452" t="s">
        <v>5174</v>
      </c>
      <c r="E452" t="s">
        <v>5175</v>
      </c>
      <c r="F452" t="s">
        <v>3917</v>
      </c>
      <c r="G452" t="s">
        <v>5176</v>
      </c>
    </row>
    <row r="453" spans="1:7" ht="11.25" customHeight="1">
      <c r="A453" s="310" t="s">
        <v>16</v>
      </c>
      <c r="B453" t="s">
        <v>5163</v>
      </c>
      <c r="C453" t="s">
        <v>5164</v>
      </c>
      <c r="D453" t="s">
        <v>5177</v>
      </c>
      <c r="E453" t="s">
        <v>5178</v>
      </c>
      <c r="F453" t="s">
        <v>3917</v>
      </c>
      <c r="G453" t="s">
        <v>5179</v>
      </c>
    </row>
    <row r="454" spans="1:7" ht="11.25" customHeight="1">
      <c r="A454" s="310" t="s">
        <v>16</v>
      </c>
      <c r="B454" t="s">
        <v>5163</v>
      </c>
      <c r="C454" t="s">
        <v>5164</v>
      </c>
      <c r="D454" t="s">
        <v>4362</v>
      </c>
      <c r="E454" t="s">
        <v>5180</v>
      </c>
      <c r="F454" t="s">
        <v>3917</v>
      </c>
      <c r="G454" t="s">
        <v>5181</v>
      </c>
    </row>
    <row r="455" spans="1:7" ht="11.25" customHeight="1">
      <c r="A455" s="310" t="s">
        <v>16</v>
      </c>
      <c r="B455" t="s">
        <v>5163</v>
      </c>
      <c r="C455" t="s">
        <v>5164</v>
      </c>
      <c r="D455" t="s">
        <v>4158</v>
      </c>
      <c r="E455" t="s">
        <v>5182</v>
      </c>
      <c r="F455" t="s">
        <v>3917</v>
      </c>
      <c r="G455" t="s">
        <v>5183</v>
      </c>
    </row>
    <row r="456" spans="1:7" ht="11.25" customHeight="1">
      <c r="A456" s="310" t="s">
        <v>16</v>
      </c>
      <c r="B456" t="s">
        <v>5163</v>
      </c>
      <c r="C456" t="s">
        <v>5164</v>
      </c>
      <c r="D456" t="s">
        <v>5184</v>
      </c>
      <c r="E456" t="s">
        <v>5185</v>
      </c>
      <c r="F456" t="s">
        <v>3917</v>
      </c>
      <c r="G456" t="s">
        <v>5186</v>
      </c>
    </row>
    <row r="457" spans="1:7" ht="11.25" customHeight="1">
      <c r="A457" s="310" t="s">
        <v>16</v>
      </c>
      <c r="B457" t="s">
        <v>5163</v>
      </c>
      <c r="C457" t="s">
        <v>5164</v>
      </c>
      <c r="D457" t="s">
        <v>5187</v>
      </c>
      <c r="E457" t="s">
        <v>5188</v>
      </c>
      <c r="F457" t="s">
        <v>3917</v>
      </c>
      <c r="G457" t="s">
        <v>5189</v>
      </c>
    </row>
    <row r="458" spans="1:7" ht="11.25" customHeight="1">
      <c r="A458" s="310" t="s">
        <v>16</v>
      </c>
      <c r="B458" t="s">
        <v>5163</v>
      </c>
      <c r="C458" t="s">
        <v>5164</v>
      </c>
      <c r="D458" t="s">
        <v>5190</v>
      </c>
      <c r="E458" t="s">
        <v>5191</v>
      </c>
      <c r="F458" t="s">
        <v>3917</v>
      </c>
      <c r="G458" t="s">
        <v>5192</v>
      </c>
    </row>
    <row r="459" spans="1:7" ht="11.25" customHeight="1">
      <c r="A459" s="310" t="s">
        <v>16</v>
      </c>
      <c r="B459" t="s">
        <v>5163</v>
      </c>
      <c r="C459" t="s">
        <v>5164</v>
      </c>
      <c r="D459" t="s">
        <v>5193</v>
      </c>
      <c r="E459" t="s">
        <v>5194</v>
      </c>
      <c r="F459" t="s">
        <v>3917</v>
      </c>
      <c r="G459" t="s">
        <v>5195</v>
      </c>
    </row>
    <row r="460" spans="1:7" ht="11.25" customHeight="1">
      <c r="A460" s="310" t="s">
        <v>16</v>
      </c>
      <c r="B460" t="s">
        <v>5163</v>
      </c>
      <c r="C460" t="s">
        <v>5164</v>
      </c>
      <c r="D460" t="s">
        <v>5163</v>
      </c>
      <c r="E460" t="s">
        <v>5164</v>
      </c>
      <c r="F460" t="s">
        <v>3914</v>
      </c>
      <c r="G460" t="s">
        <v>5196</v>
      </c>
    </row>
    <row r="461" spans="1:7" ht="11.25" customHeight="1">
      <c r="A461" s="310" t="s">
        <v>16</v>
      </c>
      <c r="B461" t="s">
        <v>5163</v>
      </c>
      <c r="C461" t="s">
        <v>5164</v>
      </c>
      <c r="D461" t="s">
        <v>5197</v>
      </c>
      <c r="E461" t="s">
        <v>5198</v>
      </c>
      <c r="F461" t="s">
        <v>3952</v>
      </c>
      <c r="G461" t="s">
        <v>5199</v>
      </c>
    </row>
    <row r="462" spans="1:7" ht="11.25" customHeight="1">
      <c r="A462" s="310" t="s">
        <v>16</v>
      </c>
      <c r="B462" t="s">
        <v>5200</v>
      </c>
      <c r="C462" t="s">
        <v>5201</v>
      </c>
      <c r="D462" t="s">
        <v>5200</v>
      </c>
      <c r="E462" t="s">
        <v>5201</v>
      </c>
      <c r="F462" t="s">
        <v>5202</v>
      </c>
      <c r="G462" t="s">
        <v>5203</v>
      </c>
    </row>
    <row r="463" spans="1:7" ht="11.25" customHeight="1">
      <c r="A463" s="310" t="s">
        <v>16</v>
      </c>
      <c r="B463" t="s">
        <v>5204</v>
      </c>
      <c r="C463" t="s">
        <v>5205</v>
      </c>
      <c r="D463" t="s">
        <v>5204</v>
      </c>
      <c r="E463" t="s">
        <v>5205</v>
      </c>
      <c r="F463" t="s">
        <v>5202</v>
      </c>
      <c r="G463" t="s">
        <v>5206</v>
      </c>
    </row>
    <row r="464" spans="1:7" ht="11.25" customHeight="1">
      <c r="A464" s="310" t="s">
        <v>16</v>
      </c>
      <c r="B464" t="s">
        <v>99</v>
      </c>
      <c r="C464" t="s">
        <v>100</v>
      </c>
      <c r="D464" t="s">
        <v>99</v>
      </c>
      <c r="E464" t="s">
        <v>100</v>
      </c>
      <c r="F464" t="s">
        <v>5202</v>
      </c>
      <c r="G464" t="s">
        <v>98</v>
      </c>
    </row>
    <row r="465" spans="1:7" ht="11.25" customHeight="1">
      <c r="A465" s="310" t="s">
        <v>16</v>
      </c>
      <c r="B465" t="s">
        <v>5207</v>
      </c>
      <c r="C465" t="s">
        <v>5208</v>
      </c>
      <c r="D465" t="s">
        <v>5207</v>
      </c>
      <c r="E465" t="s">
        <v>5208</v>
      </c>
      <c r="F465" t="s">
        <v>5202</v>
      </c>
      <c r="G465" t="s">
        <v>5209</v>
      </c>
    </row>
    <row r="466" spans="1:7" ht="11.25" customHeight="1">
      <c r="A466" s="310" t="s">
        <v>16</v>
      </c>
      <c r="B466" t="s">
        <v>5210</v>
      </c>
      <c r="C466" t="s">
        <v>5211</v>
      </c>
      <c r="D466" t="s">
        <v>5210</v>
      </c>
      <c r="E466" t="s">
        <v>5211</v>
      </c>
      <c r="F466" t="s">
        <v>5202</v>
      </c>
      <c r="G466" t="s">
        <v>5212</v>
      </c>
    </row>
    <row r="467" spans="1:7" ht="11.25" customHeight="1">
      <c r="A467" s="310" t="s">
        <v>16</v>
      </c>
      <c r="B467" t="s">
        <v>5213</v>
      </c>
      <c r="C467" t="s">
        <v>5214</v>
      </c>
      <c r="D467" t="s">
        <v>5213</v>
      </c>
      <c r="E467" t="s">
        <v>5214</v>
      </c>
      <c r="F467" t="s">
        <v>5202</v>
      </c>
      <c r="G467" t="s">
        <v>5215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5216</v>
      </c>
      <c r="B1" s="766" t="s">
        <v>5217</v>
      </c>
      <c r="C1" s="1086" t="s">
        <v>5218</v>
      </c>
      <c r="D1" s="766" t="s">
        <v>5219</v>
      </c>
      <c r="E1" s="766" t="s">
        <v>5220</v>
      </c>
      <c r="F1" s="1086" t="s">
        <v>5221</v>
      </c>
      <c r="G1" s="1086" t="s">
        <v>5222</v>
      </c>
      <c r="H1" s="1086" t="s">
        <v>5223</v>
      </c>
      <c r="I1" s="1086" t="s">
        <v>5224</v>
      </c>
    </row>
    <row r="2" spans="1:9" ht="11.25" customHeight="1">
      <c r="A2" s="1618" t="s">
        <v>108</v>
      </c>
      <c r="B2" s="1618" t="s">
        <v>5225</v>
      </c>
      <c r="C2" s="1618" t="s">
        <v>22</v>
      </c>
      <c r="D2" s="1618" t="s">
        <v>5226</v>
      </c>
      <c r="E2" s="1618" t="s">
        <v>5227</v>
      </c>
      <c r="F2" s="1618" t="s">
        <v>22</v>
      </c>
      <c r="G2" s="1618" t="s">
        <v>22</v>
      </c>
      <c r="H2" s="1618" t="s">
        <v>22</v>
      </c>
      <c r="I2" s="1618" t="s">
        <v>22</v>
      </c>
    </row>
    <row r="3" spans="1:9" ht="11.25" customHeight="1">
      <c r="A3" s="1618" t="s">
        <v>109</v>
      </c>
      <c r="B3" s="1618" t="s">
        <v>5228</v>
      </c>
      <c r="C3" s="1618" t="s">
        <v>22</v>
      </c>
      <c r="D3" s="1618" t="s">
        <v>5226</v>
      </c>
      <c r="E3" s="1618" t="s">
        <v>5227</v>
      </c>
      <c r="F3" s="1618" t="s">
        <v>22</v>
      </c>
      <c r="G3" s="1618" t="s">
        <v>22</v>
      </c>
      <c r="H3" s="1618" t="s">
        <v>22</v>
      </c>
      <c r="I3" s="1618" t="s">
        <v>22</v>
      </c>
    </row>
    <row r="4" spans="1:9" ht="11.25" customHeight="1">
      <c r="A4" s="1618" t="s">
        <v>89</v>
      </c>
      <c r="B4" s="1618" t="s">
        <v>5229</v>
      </c>
      <c r="C4" s="1618" t="s">
        <v>22</v>
      </c>
      <c r="D4" s="1618" t="s">
        <v>5230</v>
      </c>
      <c r="E4" s="1618" t="s">
        <v>5231</v>
      </c>
      <c r="F4" s="1618" t="s">
        <v>22</v>
      </c>
      <c r="G4" s="1618" t="s">
        <v>22</v>
      </c>
      <c r="H4" s="1618" t="s">
        <v>22</v>
      </c>
      <c r="I4"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97" t="s">
        <v>354</v>
      </c>
      <c r="I1" s="2197"/>
      <c r="J1" s="2197"/>
      <c r="K1" s="2197"/>
      <c r="L1" s="2197"/>
      <c r="M1" s="2197"/>
      <c r="N1" s="2197"/>
      <c r="O1" s="2197"/>
      <c r="P1" s="2197"/>
      <c r="Q1" s="2197"/>
      <c r="R1" s="2197"/>
      <c r="T1" s="2197" t="s">
        <v>355</v>
      </c>
      <c r="U1" s="2197"/>
      <c r="V1" s="2197"/>
      <c r="X1" s="2197" t="s">
        <v>356</v>
      </c>
      <c r="Y1" s="2197"/>
      <c r="Z1" s="2197"/>
      <c r="AB1" s="2197" t="s">
        <v>357</v>
      </c>
      <c r="AC1" s="2197"/>
      <c r="AT1" s="384" t="s">
        <v>14</v>
      </c>
    </row>
    <row r="2" spans="1:46" ht="14.25" hidden="1" customHeight="1">
      <c r="AT2" s="384">
        <v>0</v>
      </c>
    </row>
    <row r="3" spans="1:46" s="1540" customFormat="1" ht="5.25" customHeight="1">
      <c r="C3" s="638"/>
      <c r="D3" s="639"/>
      <c r="E3" s="639"/>
      <c r="F3" s="639"/>
      <c r="G3" s="639"/>
      <c r="H3" s="639" t="s">
        <v>358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41" t="str">
        <f>ORG_VD_NAME_FORM</f>
        <v>Форма 1. Информация об организации, осуществляющей холодное водоснабжение (общая информация)</v>
      </c>
      <c r="E4" s="2142"/>
      <c r="F4" s="2142"/>
      <c r="G4" s="2142"/>
      <c r="H4" s="2142"/>
      <c r="I4" s="2142"/>
      <c r="J4" s="2142"/>
      <c r="K4" s="2142"/>
      <c r="L4" s="2142"/>
      <c r="M4" s="2142"/>
      <c r="N4" s="2142"/>
      <c r="O4" s="2142"/>
      <c r="P4" s="2142"/>
      <c r="Q4" s="2142"/>
      <c r="R4" s="214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94" t="str">
        <f>IF(org=0,"Не определено",org)</f>
        <v>МУП "Михайловское водопроводно-канализационное хозяйство"</v>
      </c>
      <c r="E5" s="2195"/>
      <c r="F5" s="2195"/>
      <c r="G5" s="2195"/>
      <c r="H5" s="2195"/>
      <c r="I5" s="2195"/>
      <c r="J5" s="2195"/>
      <c r="K5" s="2195"/>
      <c r="L5" s="2195"/>
      <c r="M5" s="2195"/>
      <c r="N5" s="2195"/>
      <c r="O5" s="2195"/>
      <c r="P5" s="2195"/>
      <c r="Q5" s="2195"/>
      <c r="R5" s="219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85" t="s">
        <v>302</v>
      </c>
      <c r="E7" s="2198"/>
      <c r="F7" s="2198"/>
      <c r="G7" s="2198"/>
      <c r="H7" s="2198"/>
      <c r="I7" s="2198"/>
      <c r="J7" s="2198"/>
      <c r="K7" s="2198"/>
      <c r="L7" s="2198"/>
      <c r="M7" s="2198"/>
      <c r="N7" s="2198"/>
      <c r="O7" s="2198"/>
      <c r="P7" s="2198"/>
      <c r="Q7" s="2198"/>
      <c r="R7" s="2198"/>
      <c r="S7" s="2198"/>
      <c r="T7" s="2198"/>
      <c r="U7" s="2198"/>
      <c r="V7" s="2198"/>
      <c r="W7" s="2198"/>
      <c r="X7" s="2198"/>
      <c r="Y7" s="2198"/>
      <c r="Z7" s="2198"/>
      <c r="AA7" s="2198"/>
      <c r="AB7" s="2198"/>
      <c r="AC7" s="2198"/>
      <c r="AD7" s="2199"/>
      <c r="AE7" s="2148" t="s">
        <v>303</v>
      </c>
      <c r="AF7" s="2148" t="s">
        <v>303</v>
      </c>
      <c r="AG7" s="2148" t="s">
        <v>303</v>
      </c>
      <c r="AH7" s="2148" t="s">
        <v>303</v>
      </c>
      <c r="AT7" s="384">
        <v>14</v>
      </c>
    </row>
    <row r="8" spans="1:46" ht="27.4" customHeight="1">
      <c r="C8" s="387"/>
      <c r="D8" s="2091" t="s">
        <v>87</v>
      </c>
      <c r="E8" s="2148" t="str">
        <f>"Наименование "&amp;IF(TEMPLATE_SPHERE&lt;&gt;"HEAT","централизованной ","")&amp;"системы "&amp;TEMPLATE_SPHERE_RUS</f>
        <v>Наименование централизованной системы холодного водоснабжения</v>
      </c>
      <c r="F8" s="2148" t="str">
        <f>IF(TEMPLATE_SPHERE&lt;&gt;"HEAT","Регулируемый вид деятельности","Вид регулируемой деятельности")</f>
        <v>Регулируемый вид деятельности</v>
      </c>
      <c r="G8" s="759"/>
      <c r="H8" s="2186" t="s">
        <v>359</v>
      </c>
      <c r="I8" s="2190" t="s">
        <v>360</v>
      </c>
      <c r="J8" s="2148" t="s">
        <v>361</v>
      </c>
      <c r="K8" s="2148"/>
      <c r="L8" s="2148"/>
      <c r="M8" s="2185"/>
      <c r="N8" s="2148" t="s">
        <v>362</v>
      </c>
      <c r="O8" s="2148"/>
      <c r="P8" s="2148" t="s">
        <v>363</v>
      </c>
      <c r="Q8" s="2148"/>
      <c r="R8" s="2188" t="s">
        <v>364</v>
      </c>
      <c r="S8" s="755"/>
      <c r="T8" s="2186" t="s">
        <v>365</v>
      </c>
      <c r="U8" s="2186" t="s">
        <v>366</v>
      </c>
      <c r="V8" s="2186" t="s">
        <v>367</v>
      </c>
      <c r="W8" s="757"/>
      <c r="X8" s="2186" t="s">
        <v>368</v>
      </c>
      <c r="Y8" s="2186" t="s">
        <v>369</v>
      </c>
      <c r="Z8" s="2186" t="s">
        <v>370</v>
      </c>
      <c r="AA8" s="757"/>
      <c r="AB8" s="2186" t="s">
        <v>371</v>
      </c>
      <c r="AC8" s="2186" t="s">
        <v>364</v>
      </c>
      <c r="AD8" s="757"/>
      <c r="AE8" s="2148"/>
      <c r="AF8" s="2148"/>
      <c r="AG8" s="2148"/>
      <c r="AH8" s="2148"/>
      <c r="AT8" s="384">
        <v>26</v>
      </c>
    </row>
    <row r="9" spans="1:46" ht="46.15" customHeight="1">
      <c r="C9" s="387"/>
      <c r="D9" s="2091"/>
      <c r="E9" s="2148"/>
      <c r="F9" s="2148"/>
      <c r="G9" s="760"/>
      <c r="H9" s="2187"/>
      <c r="I9" s="2191"/>
      <c r="J9" s="362" t="s">
        <v>372</v>
      </c>
      <c r="K9" s="362" t="s">
        <v>373</v>
      </c>
      <c r="L9" s="362" t="s">
        <v>374</v>
      </c>
      <c r="M9" s="368" t="s">
        <v>375</v>
      </c>
      <c r="N9" s="362" t="s">
        <v>376</v>
      </c>
      <c r="O9" s="362" t="s">
        <v>375</v>
      </c>
      <c r="P9" s="362" t="s">
        <v>377</v>
      </c>
      <c r="Q9" s="362" t="s">
        <v>375</v>
      </c>
      <c r="R9" s="2189"/>
      <c r="S9" s="756"/>
      <c r="T9" s="2187"/>
      <c r="U9" s="2187"/>
      <c r="V9" s="2187"/>
      <c r="W9" s="758"/>
      <c r="X9" s="2187"/>
      <c r="Y9" s="2187"/>
      <c r="Z9" s="2187"/>
      <c r="AA9" s="758"/>
      <c r="AB9" s="2187"/>
      <c r="AC9" s="2187"/>
      <c r="AD9" s="758"/>
      <c r="AE9" s="2148"/>
      <c r="AF9" s="2148"/>
      <c r="AG9" s="2148"/>
      <c r="AH9" s="214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92" t="s">
        <v>379</v>
      </c>
      <c r="AF12" s="2192" t="s">
        <v>380</v>
      </c>
      <c r="AG12" s="2192" t="s">
        <v>381</v>
      </c>
      <c r="AH12" s="2192" t="s">
        <v>382</v>
      </c>
      <c r="AI12" s="384"/>
      <c r="AM12" s="448"/>
      <c r="AP12" s="437" t="s">
        <v>383</v>
      </c>
      <c r="AQ12" s="437" t="s">
        <v>383</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93"/>
      <c r="AF13" s="2193"/>
      <c r="AG13" s="2193"/>
      <c r="AH13" s="219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134</v>
      </c>
      <c r="B1" s="120" t="s">
        <v>5232</v>
      </c>
    </row>
    <row r="2" spans="1:2" ht="11.25" customHeight="1">
      <c r="A2" s="3" t="s">
        <v>97</v>
      </c>
      <c r="B2" s="3" t="s">
        <v>5233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5234</v>
      </c>
      <c r="B1" s="766" t="s">
        <v>5235</v>
      </c>
    </row>
    <row r="2" spans="1:2" ht="11.25" customHeight="1">
      <c r="A2" s="766">
        <v>4213775</v>
      </c>
      <c r="B2" s="766" t="s">
        <v>1222</v>
      </c>
    </row>
    <row r="3" spans="1:2" ht="11.25" customHeight="1">
      <c r="A3" s="766">
        <v>4213784</v>
      </c>
      <c r="B3" s="766" t="s">
        <v>1257</v>
      </c>
    </row>
    <row r="4" spans="1:2" ht="11.25" customHeight="1">
      <c r="A4" s="766">
        <v>4213781</v>
      </c>
      <c r="B4" s="766" t="s">
        <v>1250</v>
      </c>
    </row>
    <row r="5" spans="1:2" ht="11.25" customHeight="1">
      <c r="A5" s="766">
        <v>4213776</v>
      </c>
      <c r="B5" s="766" t="s">
        <v>170</v>
      </c>
    </row>
    <row r="6" spans="1:2" ht="11.25" customHeight="1">
      <c r="A6" s="766">
        <v>4213777</v>
      </c>
      <c r="B6" s="766" t="s">
        <v>176</v>
      </c>
    </row>
    <row r="7" spans="1:2" ht="11.25" customHeight="1">
      <c r="A7" s="766">
        <v>4213778</v>
      </c>
      <c r="B7" s="766" t="s">
        <v>182</v>
      </c>
    </row>
    <row r="8" spans="1:2" ht="11.25" customHeight="1">
      <c r="A8" s="766">
        <v>4213780</v>
      </c>
      <c r="B8" s="766" t="s">
        <v>188</v>
      </c>
    </row>
    <row r="9" spans="1:2" ht="11.25" customHeight="1">
      <c r="A9" s="766">
        <v>4213779</v>
      </c>
      <c r="B9" s="766" t="s">
        <v>1389</v>
      </c>
    </row>
    <row r="10" spans="1:2" ht="11.25" customHeight="1">
      <c r="A10" s="766">
        <v>4213783</v>
      </c>
      <c r="B10" s="766" t="s">
        <v>1404</v>
      </c>
    </row>
    <row r="11" spans="1:2" ht="11.25" customHeight="1">
      <c r="A11" s="766">
        <v>4213782</v>
      </c>
      <c r="B11" s="766"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5234</v>
      </c>
      <c r="B1" s="766" t="s">
        <v>5236</v>
      </c>
    </row>
    <row r="2" spans="1:2" ht="11.25" customHeight="1">
      <c r="A2" s="766" t="s">
        <v>5237</v>
      </c>
      <c r="B2" s="766" t="s">
        <v>1503</v>
      </c>
    </row>
    <row r="3" spans="1:2" ht="11.25" customHeight="1">
      <c r="A3" s="766" t="s">
        <v>5238</v>
      </c>
      <c r="B3" s="766" t="s">
        <v>1513</v>
      </c>
    </row>
    <row r="4" spans="1:2" ht="11.25" customHeight="1">
      <c r="A4" s="766" t="s">
        <v>5239</v>
      </c>
      <c r="B4" s="766" t="s">
        <v>1522</v>
      </c>
    </row>
    <row r="5" spans="1:2" ht="11.25" customHeight="1">
      <c r="A5" s="766" t="s">
        <v>5240</v>
      </c>
      <c r="B5" s="766" t="s">
        <v>1531</v>
      </c>
    </row>
    <row r="6" spans="1:2" ht="11.25" customHeight="1">
      <c r="A6" s="766" t="s">
        <v>5241</v>
      </c>
      <c r="B6" s="766" t="s">
        <v>1537</v>
      </c>
    </row>
    <row r="7" spans="1:2" ht="11.25" customHeight="1">
      <c r="A7" s="766" t="s">
        <v>5242</v>
      </c>
      <c r="B7" s="766" t="s">
        <v>1545</v>
      </c>
    </row>
    <row r="8" spans="1:2" ht="11.25" customHeight="1">
      <c r="A8" s="766" t="s">
        <v>118</v>
      </c>
      <c r="B8" s="766" t="s">
        <v>1552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3905</v>
      </c>
      <c r="B1" s="310" t="s">
        <v>3906</v>
      </c>
      <c r="C1" s="310" t="s">
        <v>3907</v>
      </c>
      <c r="D1" s="310" t="s">
        <v>3908</v>
      </c>
      <c r="E1" t="s">
        <v>3909</v>
      </c>
      <c r="F1" t="s">
        <v>3910</v>
      </c>
      <c r="G1" t="s">
        <v>3911</v>
      </c>
    </row>
    <row r="2" spans="1:7" ht="11.25" customHeight="1">
      <c r="A2" t="s">
        <v>16</v>
      </c>
      <c r="B2" t="s">
        <v>3912</v>
      </c>
      <c r="C2" t="s">
        <v>3913</v>
      </c>
      <c r="D2" t="s">
        <v>3912</v>
      </c>
      <c r="E2" t="s">
        <v>3913</v>
      </c>
      <c r="F2" t="s">
        <v>3914</v>
      </c>
      <c r="G2" t="s">
        <v>108</v>
      </c>
    </row>
    <row r="3" spans="1:7" ht="11.25" customHeight="1">
      <c r="A3" t="s">
        <v>16</v>
      </c>
      <c r="B3" t="s">
        <v>3912</v>
      </c>
      <c r="C3" t="s">
        <v>3913</v>
      </c>
      <c r="D3" t="s">
        <v>3915</v>
      </c>
      <c r="E3" t="s">
        <v>3916</v>
      </c>
      <c r="F3" t="s">
        <v>3917</v>
      </c>
      <c r="G3" t="s">
        <v>109</v>
      </c>
    </row>
    <row r="4" spans="1:7" ht="11.25" customHeight="1">
      <c r="A4" t="s">
        <v>16</v>
      </c>
      <c r="B4" t="s">
        <v>3912</v>
      </c>
      <c r="C4" t="s">
        <v>3913</v>
      </c>
      <c r="D4" t="s">
        <v>3918</v>
      </c>
      <c r="E4" t="s">
        <v>3919</v>
      </c>
      <c r="F4" t="s">
        <v>3917</v>
      </c>
      <c r="G4" t="s">
        <v>89</v>
      </c>
    </row>
    <row r="5" spans="1:7" ht="11.25" customHeight="1">
      <c r="A5" t="s">
        <v>16</v>
      </c>
      <c r="B5" t="s">
        <v>3912</v>
      </c>
      <c r="C5" t="s">
        <v>3913</v>
      </c>
      <c r="D5" t="s">
        <v>3920</v>
      </c>
      <c r="E5" t="s">
        <v>3921</v>
      </c>
      <c r="F5" t="s">
        <v>3917</v>
      </c>
      <c r="G5" t="s">
        <v>90</v>
      </c>
    </row>
    <row r="6" spans="1:7" ht="11.25" customHeight="1">
      <c r="A6" t="s">
        <v>16</v>
      </c>
      <c r="B6" t="s">
        <v>3912</v>
      </c>
      <c r="C6" t="s">
        <v>3913</v>
      </c>
      <c r="D6" t="s">
        <v>3922</v>
      </c>
      <c r="E6" t="s">
        <v>3923</v>
      </c>
      <c r="F6" t="s">
        <v>3917</v>
      </c>
      <c r="G6" t="s">
        <v>110</v>
      </c>
    </row>
    <row r="7" spans="1:7" ht="11.25" customHeight="1">
      <c r="A7" t="s">
        <v>16</v>
      </c>
      <c r="B7" t="s">
        <v>3912</v>
      </c>
      <c r="C7" t="s">
        <v>3913</v>
      </c>
      <c r="D7" t="s">
        <v>3924</v>
      </c>
      <c r="E7" t="s">
        <v>3925</v>
      </c>
      <c r="F7" t="s">
        <v>3917</v>
      </c>
      <c r="G7" t="s">
        <v>91</v>
      </c>
    </row>
    <row r="8" spans="1:7" ht="11.25" customHeight="1">
      <c r="A8" t="s">
        <v>16</v>
      </c>
      <c r="B8" t="s">
        <v>3912</v>
      </c>
      <c r="C8" t="s">
        <v>3913</v>
      </c>
      <c r="D8" t="s">
        <v>3926</v>
      </c>
      <c r="E8" t="s">
        <v>3927</v>
      </c>
      <c r="F8" t="s">
        <v>3917</v>
      </c>
      <c r="G8" t="s">
        <v>92</v>
      </c>
    </row>
    <row r="9" spans="1:7" ht="11.25" customHeight="1">
      <c r="A9" t="s">
        <v>16</v>
      </c>
      <c r="B9" t="s">
        <v>3912</v>
      </c>
      <c r="C9" t="s">
        <v>3913</v>
      </c>
      <c r="D9" t="s">
        <v>3928</v>
      </c>
      <c r="E9" t="s">
        <v>3929</v>
      </c>
      <c r="F9" t="s">
        <v>3917</v>
      </c>
      <c r="G9" t="s">
        <v>111</v>
      </c>
    </row>
    <row r="10" spans="1:7" ht="11.25" customHeight="1">
      <c r="A10" t="s">
        <v>16</v>
      </c>
      <c r="B10" t="s">
        <v>3912</v>
      </c>
      <c r="C10" t="s">
        <v>3913</v>
      </c>
      <c r="D10" t="s">
        <v>3930</v>
      </c>
      <c r="E10" t="s">
        <v>3931</v>
      </c>
      <c r="F10" t="s">
        <v>3917</v>
      </c>
      <c r="G10" t="s">
        <v>152</v>
      </c>
    </row>
    <row r="11" spans="1:7" ht="11.25" customHeight="1">
      <c r="A11" t="s">
        <v>16</v>
      </c>
      <c r="B11" t="s">
        <v>3912</v>
      </c>
      <c r="C11" t="s">
        <v>3913</v>
      </c>
      <c r="D11" t="s">
        <v>3932</v>
      </c>
      <c r="E11" t="s">
        <v>3933</v>
      </c>
      <c r="F11" t="s">
        <v>3917</v>
      </c>
      <c r="G11" t="s">
        <v>153</v>
      </c>
    </row>
    <row r="12" spans="1:7" ht="11.25" customHeight="1">
      <c r="A12" t="s">
        <v>16</v>
      </c>
      <c r="B12" t="s">
        <v>3912</v>
      </c>
      <c r="C12" t="s">
        <v>3913</v>
      </c>
      <c r="D12" t="s">
        <v>3934</v>
      </c>
      <c r="E12" t="s">
        <v>3935</v>
      </c>
      <c r="F12" t="s">
        <v>3917</v>
      </c>
      <c r="G12" t="s">
        <v>154</v>
      </c>
    </row>
    <row r="13" spans="1:7" ht="11.25" customHeight="1">
      <c r="A13" t="s">
        <v>16</v>
      </c>
      <c r="B13" t="s">
        <v>3912</v>
      </c>
      <c r="C13" t="s">
        <v>3913</v>
      </c>
      <c r="D13" t="s">
        <v>3936</v>
      </c>
      <c r="E13" t="s">
        <v>3937</v>
      </c>
      <c r="F13" t="s">
        <v>3917</v>
      </c>
      <c r="G13" t="s">
        <v>155</v>
      </c>
    </row>
    <row r="14" spans="1:7" ht="11.25" customHeight="1">
      <c r="A14" t="s">
        <v>16</v>
      </c>
      <c r="B14" t="s">
        <v>3912</v>
      </c>
      <c r="C14" t="s">
        <v>3913</v>
      </c>
      <c r="D14" t="s">
        <v>3938</v>
      </c>
      <c r="E14" t="s">
        <v>3939</v>
      </c>
      <c r="F14" t="s">
        <v>3917</v>
      </c>
      <c r="G14" t="s">
        <v>156</v>
      </c>
    </row>
    <row r="15" spans="1:7" ht="11.25" customHeight="1">
      <c r="A15" t="s">
        <v>16</v>
      </c>
      <c r="B15" t="s">
        <v>3912</v>
      </c>
      <c r="C15" t="s">
        <v>3913</v>
      </c>
      <c r="D15" t="s">
        <v>3940</v>
      </c>
      <c r="E15" t="s">
        <v>3941</v>
      </c>
      <c r="F15" t="s">
        <v>3917</v>
      </c>
      <c r="G15" t="s">
        <v>157</v>
      </c>
    </row>
    <row r="16" spans="1:7" ht="11.25" customHeight="1">
      <c r="A16" t="s">
        <v>16</v>
      </c>
      <c r="B16" t="s">
        <v>3912</v>
      </c>
      <c r="C16" t="s">
        <v>3913</v>
      </c>
      <c r="D16" t="s">
        <v>3942</v>
      </c>
      <c r="E16" t="s">
        <v>3943</v>
      </c>
      <c r="F16" t="s">
        <v>3917</v>
      </c>
      <c r="G16" t="s">
        <v>1464</v>
      </c>
    </row>
    <row r="17" spans="1:7" ht="11.25" customHeight="1">
      <c r="A17" t="s">
        <v>16</v>
      </c>
      <c r="B17" t="s">
        <v>3912</v>
      </c>
      <c r="C17" t="s">
        <v>3913</v>
      </c>
      <c r="D17" t="s">
        <v>3944</v>
      </c>
      <c r="E17" t="s">
        <v>3945</v>
      </c>
      <c r="F17" t="s">
        <v>3917</v>
      </c>
      <c r="G17" t="s">
        <v>1470</v>
      </c>
    </row>
    <row r="18" spans="1:7" ht="11.25" customHeight="1">
      <c r="A18" t="s">
        <v>16</v>
      </c>
      <c r="B18" t="s">
        <v>3946</v>
      </c>
      <c r="C18" t="s">
        <v>3947</v>
      </c>
      <c r="D18" t="s">
        <v>3948</v>
      </c>
      <c r="E18" t="s">
        <v>3949</v>
      </c>
      <c r="F18" t="s">
        <v>3917</v>
      </c>
      <c r="G18" t="s">
        <v>1482</v>
      </c>
    </row>
    <row r="19" spans="1:7" ht="11.25" customHeight="1">
      <c r="A19" t="s">
        <v>16</v>
      </c>
      <c r="B19" t="s">
        <v>3946</v>
      </c>
      <c r="C19" t="s">
        <v>3947</v>
      </c>
      <c r="D19" t="s">
        <v>3946</v>
      </c>
      <c r="E19" t="s">
        <v>3947</v>
      </c>
      <c r="F19" t="s">
        <v>3914</v>
      </c>
      <c r="G19" t="s">
        <v>1496</v>
      </c>
    </row>
    <row r="20" spans="1:7" ht="11.25" customHeight="1">
      <c r="A20" t="s">
        <v>16</v>
      </c>
      <c r="B20" t="s">
        <v>3946</v>
      </c>
      <c r="C20" t="s">
        <v>3947</v>
      </c>
      <c r="D20" t="s">
        <v>3950</v>
      </c>
      <c r="E20" t="s">
        <v>3951</v>
      </c>
      <c r="F20" t="s">
        <v>3952</v>
      </c>
      <c r="G20" t="s">
        <v>1508</v>
      </c>
    </row>
    <row r="21" spans="1:7" ht="11.25" customHeight="1">
      <c r="A21" t="s">
        <v>16</v>
      </c>
      <c r="B21" t="s">
        <v>3946</v>
      </c>
      <c r="C21" t="s">
        <v>3947</v>
      </c>
      <c r="D21" t="s">
        <v>3953</v>
      </c>
      <c r="E21" t="s">
        <v>3954</v>
      </c>
      <c r="F21" t="s">
        <v>3917</v>
      </c>
      <c r="G21" t="s">
        <v>1517</v>
      </c>
    </row>
    <row r="22" spans="1:7" ht="11.25" customHeight="1">
      <c r="A22" t="s">
        <v>16</v>
      </c>
      <c r="B22" t="s">
        <v>3946</v>
      </c>
      <c r="C22" t="s">
        <v>3947</v>
      </c>
      <c r="D22" t="s">
        <v>3955</v>
      </c>
      <c r="E22" t="s">
        <v>3956</v>
      </c>
      <c r="F22" t="s">
        <v>3917</v>
      </c>
      <c r="G22" t="s">
        <v>1533</v>
      </c>
    </row>
    <row r="23" spans="1:7" ht="11.25" customHeight="1">
      <c r="A23" t="s">
        <v>16</v>
      </c>
      <c r="B23" t="s">
        <v>3946</v>
      </c>
      <c r="C23" t="s">
        <v>3947</v>
      </c>
      <c r="D23" t="s">
        <v>3957</v>
      </c>
      <c r="E23" t="s">
        <v>3958</v>
      </c>
      <c r="F23" t="s">
        <v>3917</v>
      </c>
      <c r="G23" t="s">
        <v>1540</v>
      </c>
    </row>
    <row r="24" spans="1:7" ht="11.25" customHeight="1">
      <c r="A24" t="s">
        <v>16</v>
      </c>
      <c r="B24" t="s">
        <v>3946</v>
      </c>
      <c r="C24" t="s">
        <v>3947</v>
      </c>
      <c r="D24" t="s">
        <v>3959</v>
      </c>
      <c r="E24" t="s">
        <v>3960</v>
      </c>
      <c r="F24" t="s">
        <v>3917</v>
      </c>
      <c r="G24" t="s">
        <v>1548</v>
      </c>
    </row>
    <row r="25" spans="1:7" ht="11.25" customHeight="1">
      <c r="A25" t="s">
        <v>16</v>
      </c>
      <c r="B25" t="s">
        <v>3946</v>
      </c>
      <c r="C25" t="s">
        <v>3947</v>
      </c>
      <c r="D25" t="s">
        <v>3961</v>
      </c>
      <c r="E25" t="s">
        <v>3962</v>
      </c>
      <c r="F25" t="s">
        <v>3917</v>
      </c>
      <c r="G25" t="s">
        <v>1555</v>
      </c>
    </row>
    <row r="26" spans="1:7" ht="11.25" customHeight="1">
      <c r="A26" t="s">
        <v>16</v>
      </c>
      <c r="B26" t="s">
        <v>3946</v>
      </c>
      <c r="C26" t="s">
        <v>3947</v>
      </c>
      <c r="D26" t="s">
        <v>3963</v>
      </c>
      <c r="E26" t="s">
        <v>3964</v>
      </c>
      <c r="F26" t="s">
        <v>3917</v>
      </c>
      <c r="G26" t="s">
        <v>1559</v>
      </c>
    </row>
    <row r="27" spans="1:7" ht="11.25" customHeight="1">
      <c r="A27" t="s">
        <v>16</v>
      </c>
      <c r="B27" t="s">
        <v>3946</v>
      </c>
      <c r="C27" t="s">
        <v>3947</v>
      </c>
      <c r="D27" t="s">
        <v>3965</v>
      </c>
      <c r="E27" t="s">
        <v>3966</v>
      </c>
      <c r="F27" t="s">
        <v>3917</v>
      </c>
      <c r="G27" t="s">
        <v>1564</v>
      </c>
    </row>
    <row r="28" spans="1:7" ht="11.25" customHeight="1">
      <c r="A28" t="s">
        <v>16</v>
      </c>
      <c r="B28" t="s">
        <v>3946</v>
      </c>
      <c r="C28" t="s">
        <v>3947</v>
      </c>
      <c r="D28" t="s">
        <v>3967</v>
      </c>
      <c r="E28" t="s">
        <v>3968</v>
      </c>
      <c r="F28" t="s">
        <v>3917</v>
      </c>
      <c r="G28" t="s">
        <v>1572</v>
      </c>
    </row>
    <row r="29" spans="1:7" ht="11.25" customHeight="1">
      <c r="A29" t="s">
        <v>16</v>
      </c>
      <c r="B29" t="s">
        <v>3946</v>
      </c>
      <c r="C29" t="s">
        <v>3947</v>
      </c>
      <c r="D29" t="s">
        <v>3969</v>
      </c>
      <c r="E29" t="s">
        <v>3970</v>
      </c>
      <c r="F29" t="s">
        <v>3917</v>
      </c>
      <c r="G29" t="s">
        <v>1574</v>
      </c>
    </row>
    <row r="30" spans="1:7" ht="11.25" customHeight="1">
      <c r="A30" t="s">
        <v>16</v>
      </c>
      <c r="B30" t="s">
        <v>3946</v>
      </c>
      <c r="C30" t="s">
        <v>3947</v>
      </c>
      <c r="D30" t="s">
        <v>3971</v>
      </c>
      <c r="E30" t="s">
        <v>3972</v>
      </c>
      <c r="F30" t="s">
        <v>3917</v>
      </c>
      <c r="G30" t="s">
        <v>1577</v>
      </c>
    </row>
    <row r="31" spans="1:7" ht="11.25" customHeight="1">
      <c r="A31" t="s">
        <v>16</v>
      </c>
      <c r="B31" t="s">
        <v>3946</v>
      </c>
      <c r="C31" t="s">
        <v>3947</v>
      </c>
      <c r="D31" t="s">
        <v>3973</v>
      </c>
      <c r="E31" t="s">
        <v>3974</v>
      </c>
      <c r="F31" t="s">
        <v>3917</v>
      </c>
      <c r="G31" t="s">
        <v>1583</v>
      </c>
    </row>
    <row r="32" spans="1:7" ht="11.25" customHeight="1">
      <c r="A32" t="s">
        <v>16</v>
      </c>
      <c r="B32" t="s">
        <v>3946</v>
      </c>
      <c r="C32" t="s">
        <v>3947</v>
      </c>
      <c r="D32" t="s">
        <v>3975</v>
      </c>
      <c r="E32" t="s">
        <v>3976</v>
      </c>
      <c r="F32" t="s">
        <v>3917</v>
      </c>
      <c r="G32" t="s">
        <v>1585</v>
      </c>
    </row>
    <row r="33" spans="1:7" ht="11.25" customHeight="1">
      <c r="A33" t="s">
        <v>16</v>
      </c>
      <c r="B33" t="s">
        <v>3977</v>
      </c>
      <c r="C33" t="s">
        <v>3978</v>
      </c>
      <c r="D33" t="s">
        <v>3979</v>
      </c>
      <c r="E33" t="s">
        <v>3980</v>
      </c>
      <c r="F33" t="s">
        <v>3917</v>
      </c>
      <c r="G33" t="s">
        <v>1587</v>
      </c>
    </row>
    <row r="34" spans="1:7" ht="11.25" customHeight="1">
      <c r="A34" t="s">
        <v>16</v>
      </c>
      <c r="B34" t="s">
        <v>3977</v>
      </c>
      <c r="C34" t="s">
        <v>3978</v>
      </c>
      <c r="D34" t="s">
        <v>3977</v>
      </c>
      <c r="E34" t="s">
        <v>3978</v>
      </c>
      <c r="F34" t="s">
        <v>3914</v>
      </c>
      <c r="G34" t="s">
        <v>1589</v>
      </c>
    </row>
    <row r="35" spans="1:7" ht="11.25" customHeight="1">
      <c r="A35" t="s">
        <v>16</v>
      </c>
      <c r="B35" t="s">
        <v>3977</v>
      </c>
      <c r="C35" t="s">
        <v>3978</v>
      </c>
      <c r="D35" t="s">
        <v>3981</v>
      </c>
      <c r="E35" t="s">
        <v>3982</v>
      </c>
      <c r="F35" t="s">
        <v>3952</v>
      </c>
      <c r="G35" t="s">
        <v>1594</v>
      </c>
    </row>
    <row r="36" spans="1:7" ht="11.25" customHeight="1">
      <c r="A36" t="s">
        <v>16</v>
      </c>
      <c r="B36" t="s">
        <v>3977</v>
      </c>
      <c r="C36" t="s">
        <v>3978</v>
      </c>
      <c r="D36" t="s">
        <v>3983</v>
      </c>
      <c r="E36" t="s">
        <v>3984</v>
      </c>
      <c r="F36" t="s">
        <v>3917</v>
      </c>
      <c r="G36" t="s">
        <v>1599</v>
      </c>
    </row>
    <row r="37" spans="1:7" ht="11.25" customHeight="1">
      <c r="A37" t="s">
        <v>16</v>
      </c>
      <c r="B37" t="s">
        <v>3977</v>
      </c>
      <c r="C37" t="s">
        <v>3978</v>
      </c>
      <c r="D37" t="s">
        <v>3985</v>
      </c>
      <c r="E37" t="s">
        <v>3986</v>
      </c>
      <c r="F37" t="s">
        <v>3952</v>
      </c>
      <c r="G37" t="s">
        <v>1603</v>
      </c>
    </row>
    <row r="38" spans="1:7" ht="11.25" customHeight="1">
      <c r="A38" t="s">
        <v>16</v>
      </c>
      <c r="B38" t="s">
        <v>3977</v>
      </c>
      <c r="C38" t="s">
        <v>3978</v>
      </c>
      <c r="D38" t="s">
        <v>3987</v>
      </c>
      <c r="E38" t="s">
        <v>3988</v>
      </c>
      <c r="F38" t="s">
        <v>3917</v>
      </c>
      <c r="G38" t="s">
        <v>1611</v>
      </c>
    </row>
    <row r="39" spans="1:7" ht="11.25" customHeight="1">
      <c r="A39" t="s">
        <v>16</v>
      </c>
      <c r="B39" t="s">
        <v>3977</v>
      </c>
      <c r="C39" t="s">
        <v>3978</v>
      </c>
      <c r="D39" t="s">
        <v>3989</v>
      </c>
      <c r="E39" t="s">
        <v>3990</v>
      </c>
      <c r="F39" t="s">
        <v>3917</v>
      </c>
      <c r="G39" t="s">
        <v>1617</v>
      </c>
    </row>
    <row r="40" spans="1:7" ht="11.25" customHeight="1">
      <c r="A40" t="s">
        <v>16</v>
      </c>
      <c r="B40" t="s">
        <v>3977</v>
      </c>
      <c r="C40" t="s">
        <v>3978</v>
      </c>
      <c r="D40" t="s">
        <v>3991</v>
      </c>
      <c r="E40" t="s">
        <v>3992</v>
      </c>
      <c r="F40" t="s">
        <v>3917</v>
      </c>
      <c r="G40" t="s">
        <v>1622</v>
      </c>
    </row>
    <row r="41" spans="1:7" ht="11.25" customHeight="1">
      <c r="A41" t="s">
        <v>16</v>
      </c>
      <c r="B41" t="s">
        <v>3977</v>
      </c>
      <c r="C41" t="s">
        <v>3978</v>
      </c>
      <c r="D41" t="s">
        <v>3993</v>
      </c>
      <c r="E41" t="s">
        <v>3994</v>
      </c>
      <c r="F41" t="s">
        <v>3917</v>
      </c>
      <c r="G41" t="s">
        <v>1626</v>
      </c>
    </row>
    <row r="42" spans="1:7" ht="11.25" customHeight="1">
      <c r="A42" t="s">
        <v>16</v>
      </c>
      <c r="B42" t="s">
        <v>3977</v>
      </c>
      <c r="C42" t="s">
        <v>3978</v>
      </c>
      <c r="D42" t="s">
        <v>3995</v>
      </c>
      <c r="E42" t="s">
        <v>3996</v>
      </c>
      <c r="F42" t="s">
        <v>3917</v>
      </c>
      <c r="G42" t="s">
        <v>1629</v>
      </c>
    </row>
    <row r="43" spans="1:7" ht="11.25" customHeight="1">
      <c r="A43" t="s">
        <v>16</v>
      </c>
      <c r="B43" t="s">
        <v>3977</v>
      </c>
      <c r="C43" t="s">
        <v>3978</v>
      </c>
      <c r="D43" t="s">
        <v>3997</v>
      </c>
      <c r="E43" t="s">
        <v>3998</v>
      </c>
      <c r="F43" t="s">
        <v>3917</v>
      </c>
      <c r="G43" t="s">
        <v>1636</v>
      </c>
    </row>
    <row r="44" spans="1:7" ht="11.25" customHeight="1">
      <c r="A44" t="s">
        <v>16</v>
      </c>
      <c r="B44" t="s">
        <v>3977</v>
      </c>
      <c r="C44" t="s">
        <v>3978</v>
      </c>
      <c r="D44" t="s">
        <v>3999</v>
      </c>
      <c r="E44" t="s">
        <v>4000</v>
      </c>
      <c r="F44" t="s">
        <v>3917</v>
      </c>
      <c r="G44" t="s">
        <v>1645</v>
      </c>
    </row>
    <row r="45" spans="1:7" ht="11.25" customHeight="1">
      <c r="A45" t="s">
        <v>16</v>
      </c>
      <c r="B45" t="s">
        <v>3977</v>
      </c>
      <c r="C45" t="s">
        <v>3978</v>
      </c>
      <c r="D45" t="s">
        <v>4001</v>
      </c>
      <c r="E45" t="s">
        <v>4002</v>
      </c>
      <c r="F45" t="s">
        <v>3952</v>
      </c>
      <c r="G45" t="s">
        <v>1650</v>
      </c>
    </row>
    <row r="46" spans="1:7" ht="11.25" customHeight="1">
      <c r="A46" t="s">
        <v>16</v>
      </c>
      <c r="B46" t="s">
        <v>3977</v>
      </c>
      <c r="C46" t="s">
        <v>3978</v>
      </c>
      <c r="D46" t="s">
        <v>4003</v>
      </c>
      <c r="E46" t="s">
        <v>4004</v>
      </c>
      <c r="F46" t="s">
        <v>3917</v>
      </c>
      <c r="G46" t="s">
        <v>1653</v>
      </c>
    </row>
    <row r="47" spans="1:7" ht="11.25" customHeight="1">
      <c r="A47" t="s">
        <v>16</v>
      </c>
      <c r="B47" t="s">
        <v>3977</v>
      </c>
      <c r="C47" t="s">
        <v>3978</v>
      </c>
      <c r="D47" t="s">
        <v>4005</v>
      </c>
      <c r="E47" t="s">
        <v>4006</v>
      </c>
      <c r="F47" t="s">
        <v>3917</v>
      </c>
      <c r="G47" t="s">
        <v>1659</v>
      </c>
    </row>
    <row r="48" spans="1:7" ht="11.25" customHeight="1">
      <c r="A48" t="s">
        <v>16</v>
      </c>
      <c r="B48" t="s">
        <v>3977</v>
      </c>
      <c r="C48" t="s">
        <v>3978</v>
      </c>
      <c r="D48" t="s">
        <v>4007</v>
      </c>
      <c r="E48" t="s">
        <v>4008</v>
      </c>
      <c r="F48" t="s">
        <v>3917</v>
      </c>
      <c r="G48" t="s">
        <v>1664</v>
      </c>
    </row>
    <row r="49" spans="1:7" ht="11.25" customHeight="1">
      <c r="A49" t="s">
        <v>16</v>
      </c>
      <c r="B49" t="s">
        <v>3977</v>
      </c>
      <c r="C49" t="s">
        <v>3978</v>
      </c>
      <c r="D49" t="s">
        <v>4009</v>
      </c>
      <c r="E49" t="s">
        <v>4010</v>
      </c>
      <c r="F49" t="s">
        <v>3917</v>
      </c>
      <c r="G49" t="s">
        <v>1667</v>
      </c>
    </row>
    <row r="50" spans="1:7" ht="11.25" customHeight="1">
      <c r="A50" t="s">
        <v>16</v>
      </c>
      <c r="B50" t="s">
        <v>3977</v>
      </c>
      <c r="C50" t="s">
        <v>3978</v>
      </c>
      <c r="D50" t="s">
        <v>4011</v>
      </c>
      <c r="E50" t="s">
        <v>4012</v>
      </c>
      <c r="F50" t="s">
        <v>3917</v>
      </c>
      <c r="G50" t="s">
        <v>1671</v>
      </c>
    </row>
    <row r="51" spans="1:7" ht="11.25" customHeight="1">
      <c r="A51" t="s">
        <v>16</v>
      </c>
      <c r="B51" t="s">
        <v>3977</v>
      </c>
      <c r="C51" t="s">
        <v>3978</v>
      </c>
      <c r="D51" t="s">
        <v>4013</v>
      </c>
      <c r="E51" t="s">
        <v>4014</v>
      </c>
      <c r="F51" t="s">
        <v>3917</v>
      </c>
      <c r="G51" t="s">
        <v>1676</v>
      </c>
    </row>
    <row r="52" spans="1:7" ht="11.25" customHeight="1">
      <c r="A52" t="s">
        <v>16</v>
      </c>
      <c r="B52" t="s">
        <v>4015</v>
      </c>
      <c r="C52" t="s">
        <v>4016</v>
      </c>
      <c r="D52" t="s">
        <v>4017</v>
      </c>
      <c r="E52" t="s">
        <v>4018</v>
      </c>
      <c r="F52" t="s">
        <v>3917</v>
      </c>
      <c r="G52" t="s">
        <v>1680</v>
      </c>
    </row>
    <row r="53" spans="1:7" ht="11.25" customHeight="1">
      <c r="A53" t="s">
        <v>16</v>
      </c>
      <c r="B53" t="s">
        <v>4015</v>
      </c>
      <c r="C53" t="s">
        <v>4016</v>
      </c>
      <c r="D53" t="s">
        <v>4019</v>
      </c>
      <c r="E53" t="s">
        <v>4020</v>
      </c>
      <c r="F53" t="s">
        <v>3917</v>
      </c>
      <c r="G53" t="s">
        <v>1682</v>
      </c>
    </row>
    <row r="54" spans="1:7" ht="11.25" customHeight="1">
      <c r="A54" t="s">
        <v>16</v>
      </c>
      <c r="B54" t="s">
        <v>4015</v>
      </c>
      <c r="C54" t="s">
        <v>4016</v>
      </c>
      <c r="D54" t="s">
        <v>4021</v>
      </c>
      <c r="E54" t="s">
        <v>4022</v>
      </c>
      <c r="F54" t="s">
        <v>3917</v>
      </c>
      <c r="G54" t="s">
        <v>1685</v>
      </c>
    </row>
    <row r="55" spans="1:7" ht="11.25" customHeight="1">
      <c r="A55" t="s">
        <v>16</v>
      </c>
      <c r="B55" t="s">
        <v>4015</v>
      </c>
      <c r="C55" t="s">
        <v>4016</v>
      </c>
      <c r="D55" t="s">
        <v>4015</v>
      </c>
      <c r="E55" t="s">
        <v>4016</v>
      </c>
      <c r="F55" t="s">
        <v>3914</v>
      </c>
      <c r="G55" t="s">
        <v>1689</v>
      </c>
    </row>
    <row r="56" spans="1:7" ht="11.25" customHeight="1">
      <c r="A56" t="s">
        <v>16</v>
      </c>
      <c r="B56" t="s">
        <v>4015</v>
      </c>
      <c r="C56" t="s">
        <v>4016</v>
      </c>
      <c r="D56" t="s">
        <v>4023</v>
      </c>
      <c r="E56" t="s">
        <v>4024</v>
      </c>
      <c r="F56" t="s">
        <v>3952</v>
      </c>
      <c r="G56" t="s">
        <v>1692</v>
      </c>
    </row>
    <row r="57" spans="1:7" ht="11.25" customHeight="1">
      <c r="A57" t="s">
        <v>16</v>
      </c>
      <c r="B57" t="s">
        <v>4015</v>
      </c>
      <c r="C57" t="s">
        <v>4016</v>
      </c>
      <c r="D57" t="s">
        <v>4025</v>
      </c>
      <c r="E57" t="s">
        <v>4026</v>
      </c>
      <c r="F57" t="s">
        <v>3917</v>
      </c>
      <c r="G57" t="s">
        <v>1695</v>
      </c>
    </row>
    <row r="58" spans="1:7" ht="11.25" customHeight="1">
      <c r="A58" t="s">
        <v>16</v>
      </c>
      <c r="B58" t="s">
        <v>4015</v>
      </c>
      <c r="C58" t="s">
        <v>4016</v>
      </c>
      <c r="D58" t="s">
        <v>4027</v>
      </c>
      <c r="E58" t="s">
        <v>4028</v>
      </c>
      <c r="F58" t="s">
        <v>3917</v>
      </c>
      <c r="G58" t="s">
        <v>1698</v>
      </c>
    </row>
    <row r="59" spans="1:7" ht="11.25" customHeight="1">
      <c r="A59" t="s">
        <v>16</v>
      </c>
      <c r="B59" t="s">
        <v>4015</v>
      </c>
      <c r="C59" t="s">
        <v>4016</v>
      </c>
      <c r="D59" t="s">
        <v>4029</v>
      </c>
      <c r="E59" t="s">
        <v>4030</v>
      </c>
      <c r="F59" t="s">
        <v>3917</v>
      </c>
      <c r="G59" t="s">
        <v>1702</v>
      </c>
    </row>
    <row r="60" spans="1:7" ht="11.25" customHeight="1">
      <c r="A60" t="s">
        <v>16</v>
      </c>
      <c r="B60" t="s">
        <v>4015</v>
      </c>
      <c r="C60" t="s">
        <v>4016</v>
      </c>
      <c r="D60" t="s">
        <v>4031</v>
      </c>
      <c r="E60" t="s">
        <v>4032</v>
      </c>
      <c r="F60" t="s">
        <v>3917</v>
      </c>
      <c r="G60" t="s">
        <v>1705</v>
      </c>
    </row>
    <row r="61" spans="1:7" ht="11.25" customHeight="1">
      <c r="A61" t="s">
        <v>16</v>
      </c>
      <c r="B61" t="s">
        <v>4015</v>
      </c>
      <c r="C61" t="s">
        <v>4016</v>
      </c>
      <c r="D61" t="s">
        <v>4033</v>
      </c>
      <c r="E61" t="s">
        <v>4034</v>
      </c>
      <c r="F61" t="s">
        <v>3917</v>
      </c>
      <c r="G61" t="s">
        <v>4035</v>
      </c>
    </row>
    <row r="62" spans="1:7" ht="11.25" customHeight="1">
      <c r="A62" t="s">
        <v>16</v>
      </c>
      <c r="B62" t="s">
        <v>4015</v>
      </c>
      <c r="C62" t="s">
        <v>4016</v>
      </c>
      <c r="D62" t="s">
        <v>4036</v>
      </c>
      <c r="E62" t="s">
        <v>4037</v>
      </c>
      <c r="F62" t="s">
        <v>3917</v>
      </c>
      <c r="G62" t="s">
        <v>4038</v>
      </c>
    </row>
    <row r="63" spans="1:7" ht="11.25" customHeight="1">
      <c r="A63" t="s">
        <v>16</v>
      </c>
      <c r="B63" t="s">
        <v>4015</v>
      </c>
      <c r="C63" t="s">
        <v>4016</v>
      </c>
      <c r="D63" t="s">
        <v>4039</v>
      </c>
      <c r="E63" t="s">
        <v>4040</v>
      </c>
      <c r="F63" t="s">
        <v>3917</v>
      </c>
      <c r="G63" t="s">
        <v>4041</v>
      </c>
    </row>
    <row r="64" spans="1:7" ht="11.25" customHeight="1">
      <c r="A64" t="s">
        <v>16</v>
      </c>
      <c r="B64" t="s">
        <v>4042</v>
      </c>
      <c r="C64" t="s">
        <v>4043</v>
      </c>
      <c r="D64" t="s">
        <v>4044</v>
      </c>
      <c r="E64" t="s">
        <v>4045</v>
      </c>
      <c r="F64" t="s">
        <v>3917</v>
      </c>
      <c r="G64" t="s">
        <v>4046</v>
      </c>
    </row>
    <row r="65" spans="1:7" ht="11.25" customHeight="1">
      <c r="A65" t="s">
        <v>16</v>
      </c>
      <c r="B65" t="s">
        <v>4042</v>
      </c>
      <c r="C65" t="s">
        <v>4043</v>
      </c>
      <c r="D65" t="s">
        <v>4047</v>
      </c>
      <c r="E65" t="s">
        <v>4048</v>
      </c>
      <c r="F65" t="s">
        <v>3917</v>
      </c>
      <c r="G65" t="s">
        <v>4049</v>
      </c>
    </row>
    <row r="66" spans="1:7" ht="11.25" customHeight="1">
      <c r="A66" t="s">
        <v>16</v>
      </c>
      <c r="B66" t="s">
        <v>4042</v>
      </c>
      <c r="C66" t="s">
        <v>4043</v>
      </c>
      <c r="D66" t="s">
        <v>4050</v>
      </c>
      <c r="E66" t="s">
        <v>4051</v>
      </c>
      <c r="F66" t="s">
        <v>3917</v>
      </c>
      <c r="G66" t="s">
        <v>4052</v>
      </c>
    </row>
    <row r="67" spans="1:7" ht="11.25" customHeight="1">
      <c r="A67" t="s">
        <v>16</v>
      </c>
      <c r="B67" t="s">
        <v>4042</v>
      </c>
      <c r="C67" t="s">
        <v>4043</v>
      </c>
      <c r="D67" t="s">
        <v>4053</v>
      </c>
      <c r="E67" t="s">
        <v>4054</v>
      </c>
      <c r="F67" t="s">
        <v>3917</v>
      </c>
      <c r="G67" t="s">
        <v>2022</v>
      </c>
    </row>
    <row r="68" spans="1:7" ht="11.25" customHeight="1">
      <c r="A68" t="s">
        <v>16</v>
      </c>
      <c r="B68" t="s">
        <v>4042</v>
      </c>
      <c r="C68" t="s">
        <v>4043</v>
      </c>
      <c r="D68" t="s">
        <v>4042</v>
      </c>
      <c r="E68" t="s">
        <v>4043</v>
      </c>
      <c r="F68" t="s">
        <v>3914</v>
      </c>
      <c r="G68" t="s">
        <v>4055</v>
      </c>
    </row>
    <row r="69" spans="1:7" ht="11.25" customHeight="1">
      <c r="A69" t="s">
        <v>16</v>
      </c>
      <c r="B69" t="s">
        <v>4042</v>
      </c>
      <c r="C69" t="s">
        <v>4043</v>
      </c>
      <c r="D69" t="s">
        <v>4056</v>
      </c>
      <c r="E69" t="s">
        <v>4057</v>
      </c>
      <c r="F69" t="s">
        <v>3917</v>
      </c>
      <c r="G69" t="s">
        <v>2225</v>
      </c>
    </row>
    <row r="70" spans="1:7" ht="11.25" customHeight="1">
      <c r="A70" t="s">
        <v>16</v>
      </c>
      <c r="B70" t="s">
        <v>4042</v>
      </c>
      <c r="C70" t="s">
        <v>4043</v>
      </c>
      <c r="D70" t="s">
        <v>4058</v>
      </c>
      <c r="E70" t="s">
        <v>4059</v>
      </c>
      <c r="F70" t="s">
        <v>3917</v>
      </c>
      <c r="G70" t="s">
        <v>4060</v>
      </c>
    </row>
    <row r="71" spans="1:7" ht="11.25" customHeight="1">
      <c r="A71" t="s">
        <v>16</v>
      </c>
      <c r="B71" t="s">
        <v>4042</v>
      </c>
      <c r="C71" t="s">
        <v>4043</v>
      </c>
      <c r="D71" t="s">
        <v>4061</v>
      </c>
      <c r="E71" t="s">
        <v>4062</v>
      </c>
      <c r="F71" t="s">
        <v>3917</v>
      </c>
      <c r="G71" t="s">
        <v>4063</v>
      </c>
    </row>
    <row r="72" spans="1:7" ht="11.25" customHeight="1">
      <c r="A72" t="s">
        <v>16</v>
      </c>
      <c r="B72" t="s">
        <v>4042</v>
      </c>
      <c r="C72" t="s">
        <v>4043</v>
      </c>
      <c r="D72" t="s">
        <v>4007</v>
      </c>
      <c r="E72" t="s">
        <v>4064</v>
      </c>
      <c r="F72" t="s">
        <v>3917</v>
      </c>
      <c r="G72" t="s">
        <v>4065</v>
      </c>
    </row>
    <row r="73" spans="1:7" ht="11.25" customHeight="1">
      <c r="A73" t="s">
        <v>16</v>
      </c>
      <c r="B73" t="s">
        <v>4042</v>
      </c>
      <c r="C73" t="s">
        <v>4043</v>
      </c>
      <c r="D73" t="s">
        <v>4066</v>
      </c>
      <c r="E73" t="s">
        <v>4067</v>
      </c>
      <c r="F73" t="s">
        <v>3917</v>
      </c>
      <c r="G73" t="s">
        <v>4068</v>
      </c>
    </row>
    <row r="74" spans="1:7" ht="11.25" customHeight="1">
      <c r="A74" t="s">
        <v>16</v>
      </c>
      <c r="B74" t="s">
        <v>4042</v>
      </c>
      <c r="C74" t="s">
        <v>4043</v>
      </c>
      <c r="D74" t="s">
        <v>4069</v>
      </c>
      <c r="E74" t="s">
        <v>4070</v>
      </c>
      <c r="F74" t="s">
        <v>3917</v>
      </c>
      <c r="G74" t="s">
        <v>4071</v>
      </c>
    </row>
    <row r="75" spans="1:7" ht="11.25" customHeight="1">
      <c r="A75" t="s">
        <v>16</v>
      </c>
      <c r="B75" t="s">
        <v>4042</v>
      </c>
      <c r="C75" t="s">
        <v>4043</v>
      </c>
      <c r="D75" t="s">
        <v>4072</v>
      </c>
      <c r="E75" t="s">
        <v>4073</v>
      </c>
      <c r="F75" t="s">
        <v>3917</v>
      </c>
      <c r="G75" t="s">
        <v>4074</v>
      </c>
    </row>
    <row r="76" spans="1:7" ht="11.25" customHeight="1">
      <c r="A76" t="s">
        <v>16</v>
      </c>
      <c r="B76" t="s">
        <v>4042</v>
      </c>
      <c r="C76" t="s">
        <v>4043</v>
      </c>
      <c r="D76" t="s">
        <v>4075</v>
      </c>
      <c r="E76" t="s">
        <v>4076</v>
      </c>
      <c r="F76" t="s">
        <v>3917</v>
      </c>
      <c r="G76" t="s">
        <v>4077</v>
      </c>
    </row>
    <row r="77" spans="1:7" ht="11.25" customHeight="1">
      <c r="A77" t="s">
        <v>16</v>
      </c>
      <c r="B77" t="s">
        <v>4042</v>
      </c>
      <c r="C77" t="s">
        <v>4043</v>
      </c>
      <c r="D77" t="s">
        <v>4078</v>
      </c>
      <c r="E77" t="s">
        <v>4079</v>
      </c>
      <c r="F77" t="s">
        <v>3917</v>
      </c>
      <c r="G77" t="s">
        <v>4080</v>
      </c>
    </row>
    <row r="78" spans="1:7" ht="11.25" customHeight="1">
      <c r="A78" t="s">
        <v>16</v>
      </c>
      <c r="B78" t="s">
        <v>4042</v>
      </c>
      <c r="C78" t="s">
        <v>4043</v>
      </c>
      <c r="D78" t="s">
        <v>4081</v>
      </c>
      <c r="E78" t="s">
        <v>4082</v>
      </c>
      <c r="F78" t="s">
        <v>4083</v>
      </c>
      <c r="G78" t="s">
        <v>4084</v>
      </c>
    </row>
    <row r="79" spans="1:7" ht="11.25" customHeight="1">
      <c r="A79" t="s">
        <v>16</v>
      </c>
      <c r="B79" t="s">
        <v>4085</v>
      </c>
      <c r="C79" t="s">
        <v>4086</v>
      </c>
      <c r="D79" t="s">
        <v>4087</v>
      </c>
      <c r="E79" t="s">
        <v>4088</v>
      </c>
      <c r="F79" t="s">
        <v>3917</v>
      </c>
      <c r="G79" t="s">
        <v>4089</v>
      </c>
    </row>
    <row r="80" spans="1:7" ht="11.25" customHeight="1">
      <c r="A80" t="s">
        <v>16</v>
      </c>
      <c r="B80" t="s">
        <v>4085</v>
      </c>
      <c r="C80" t="s">
        <v>4086</v>
      </c>
      <c r="D80" t="s">
        <v>4021</v>
      </c>
      <c r="E80" t="s">
        <v>4090</v>
      </c>
      <c r="F80" t="s">
        <v>3917</v>
      </c>
      <c r="G80" t="s">
        <v>4091</v>
      </c>
    </row>
    <row r="81" spans="1:7" ht="11.25" customHeight="1">
      <c r="A81" t="s">
        <v>16</v>
      </c>
      <c r="B81" t="s">
        <v>4085</v>
      </c>
      <c r="C81" t="s">
        <v>4086</v>
      </c>
      <c r="D81" t="s">
        <v>4092</v>
      </c>
      <c r="E81" t="s">
        <v>4093</v>
      </c>
      <c r="F81" t="s">
        <v>3917</v>
      </c>
      <c r="G81" t="s">
        <v>4094</v>
      </c>
    </row>
    <row r="82" spans="1:7" ht="11.25" customHeight="1">
      <c r="A82" t="s">
        <v>16</v>
      </c>
      <c r="B82" t="s">
        <v>4085</v>
      </c>
      <c r="C82" t="s">
        <v>4086</v>
      </c>
      <c r="D82" t="s">
        <v>4095</v>
      </c>
      <c r="E82" t="s">
        <v>4096</v>
      </c>
      <c r="F82" t="s">
        <v>3917</v>
      </c>
      <c r="G82" t="s">
        <v>4097</v>
      </c>
    </row>
    <row r="83" spans="1:7" ht="11.25" customHeight="1">
      <c r="A83" t="s">
        <v>16</v>
      </c>
      <c r="B83" t="s">
        <v>4085</v>
      </c>
      <c r="C83" t="s">
        <v>4086</v>
      </c>
      <c r="D83" t="s">
        <v>4098</v>
      </c>
      <c r="E83" t="s">
        <v>4099</v>
      </c>
      <c r="F83" t="s">
        <v>3917</v>
      </c>
      <c r="G83" t="s">
        <v>4100</v>
      </c>
    </row>
    <row r="84" spans="1:7" ht="11.25" customHeight="1">
      <c r="A84" t="s">
        <v>16</v>
      </c>
      <c r="B84" t="s">
        <v>4085</v>
      </c>
      <c r="C84" t="s">
        <v>4086</v>
      </c>
      <c r="D84" t="s">
        <v>4101</v>
      </c>
      <c r="E84" t="s">
        <v>4102</v>
      </c>
      <c r="F84" t="s">
        <v>3917</v>
      </c>
      <c r="G84" t="s">
        <v>4103</v>
      </c>
    </row>
    <row r="85" spans="1:7" ht="11.25" customHeight="1">
      <c r="A85" t="s">
        <v>16</v>
      </c>
      <c r="B85" t="s">
        <v>4085</v>
      </c>
      <c r="C85" t="s">
        <v>4086</v>
      </c>
      <c r="D85" t="s">
        <v>4085</v>
      </c>
      <c r="E85" t="s">
        <v>4086</v>
      </c>
      <c r="F85" t="s">
        <v>3914</v>
      </c>
      <c r="G85" t="s">
        <v>4104</v>
      </c>
    </row>
    <row r="86" spans="1:7" ht="11.25" customHeight="1">
      <c r="A86" t="s">
        <v>16</v>
      </c>
      <c r="B86" t="s">
        <v>4085</v>
      </c>
      <c r="C86" t="s">
        <v>4086</v>
      </c>
      <c r="D86" t="s">
        <v>4105</v>
      </c>
      <c r="E86" t="s">
        <v>4106</v>
      </c>
      <c r="F86" t="s">
        <v>3952</v>
      </c>
      <c r="G86" t="s">
        <v>4107</v>
      </c>
    </row>
    <row r="87" spans="1:7" ht="11.25" customHeight="1">
      <c r="A87" t="s">
        <v>16</v>
      </c>
      <c r="B87" t="s">
        <v>4085</v>
      </c>
      <c r="C87" t="s">
        <v>4086</v>
      </c>
      <c r="D87" t="s">
        <v>4108</v>
      </c>
      <c r="E87" t="s">
        <v>4109</v>
      </c>
      <c r="F87" t="s">
        <v>3917</v>
      </c>
      <c r="G87" t="s">
        <v>4110</v>
      </c>
    </row>
    <row r="88" spans="1:7" ht="11.25" customHeight="1">
      <c r="A88" t="s">
        <v>16</v>
      </c>
      <c r="B88" t="s">
        <v>4085</v>
      </c>
      <c r="C88" t="s">
        <v>4086</v>
      </c>
      <c r="D88" t="s">
        <v>4111</v>
      </c>
      <c r="E88" t="s">
        <v>4112</v>
      </c>
      <c r="F88" t="s">
        <v>3917</v>
      </c>
      <c r="G88" t="s">
        <v>4113</v>
      </c>
    </row>
    <row r="89" spans="1:7" ht="11.25" customHeight="1">
      <c r="A89" t="s">
        <v>16</v>
      </c>
      <c r="B89" t="s">
        <v>4085</v>
      </c>
      <c r="C89" t="s">
        <v>4086</v>
      </c>
      <c r="D89" t="s">
        <v>4114</v>
      </c>
      <c r="E89" t="s">
        <v>4115</v>
      </c>
      <c r="F89" t="s">
        <v>3917</v>
      </c>
      <c r="G89" t="s">
        <v>4116</v>
      </c>
    </row>
    <row r="90" spans="1:7" ht="11.25" customHeight="1">
      <c r="A90" t="s">
        <v>16</v>
      </c>
      <c r="B90" t="s">
        <v>4085</v>
      </c>
      <c r="C90" t="s">
        <v>4086</v>
      </c>
      <c r="D90" t="s">
        <v>4117</v>
      </c>
      <c r="E90" t="s">
        <v>4118</v>
      </c>
      <c r="F90" t="s">
        <v>3917</v>
      </c>
      <c r="G90" t="s">
        <v>4119</v>
      </c>
    </row>
    <row r="91" spans="1:7" ht="11.25" customHeight="1">
      <c r="A91" t="s">
        <v>16</v>
      </c>
      <c r="B91" t="s">
        <v>4085</v>
      </c>
      <c r="C91" t="s">
        <v>4086</v>
      </c>
      <c r="D91" t="s">
        <v>4120</v>
      </c>
      <c r="E91" t="s">
        <v>4121</v>
      </c>
      <c r="F91" t="s">
        <v>3917</v>
      </c>
      <c r="G91" t="s">
        <v>4122</v>
      </c>
    </row>
    <row r="92" spans="1:7" ht="11.25" customHeight="1">
      <c r="A92" t="s">
        <v>16</v>
      </c>
      <c r="B92" t="s">
        <v>4085</v>
      </c>
      <c r="C92" t="s">
        <v>4086</v>
      </c>
      <c r="D92" t="s">
        <v>4123</v>
      </c>
      <c r="E92" t="s">
        <v>4124</v>
      </c>
      <c r="F92" t="s">
        <v>3917</v>
      </c>
      <c r="G92" t="s">
        <v>4125</v>
      </c>
    </row>
    <row r="93" spans="1:7" ht="11.25" customHeight="1">
      <c r="A93" t="s">
        <v>16</v>
      </c>
      <c r="B93" t="s">
        <v>4085</v>
      </c>
      <c r="C93" t="s">
        <v>4086</v>
      </c>
      <c r="D93" t="s">
        <v>4126</v>
      </c>
      <c r="E93" t="s">
        <v>4127</v>
      </c>
      <c r="F93" t="s">
        <v>3917</v>
      </c>
      <c r="G93" t="s">
        <v>4128</v>
      </c>
    </row>
    <row r="94" spans="1:7" ht="11.25" customHeight="1">
      <c r="A94" t="s">
        <v>16</v>
      </c>
      <c r="B94" t="s">
        <v>4085</v>
      </c>
      <c r="C94" t="s">
        <v>4086</v>
      </c>
      <c r="D94" t="s">
        <v>4129</v>
      </c>
      <c r="E94" t="s">
        <v>4130</v>
      </c>
      <c r="F94" t="s">
        <v>3917</v>
      </c>
      <c r="G94" t="s">
        <v>4131</v>
      </c>
    </row>
    <row r="95" spans="1:7" ht="11.25" customHeight="1">
      <c r="A95" t="s">
        <v>16</v>
      </c>
      <c r="B95" t="s">
        <v>4085</v>
      </c>
      <c r="C95" t="s">
        <v>4086</v>
      </c>
      <c r="D95" t="s">
        <v>4132</v>
      </c>
      <c r="E95" t="s">
        <v>4133</v>
      </c>
      <c r="F95" t="s">
        <v>3917</v>
      </c>
      <c r="G95" t="s">
        <v>4134</v>
      </c>
    </row>
    <row r="96" spans="1:7" ht="11.25" customHeight="1">
      <c r="A96" t="s">
        <v>16</v>
      </c>
      <c r="B96" t="s">
        <v>4085</v>
      </c>
      <c r="C96" t="s">
        <v>4086</v>
      </c>
      <c r="D96" t="s">
        <v>4135</v>
      </c>
      <c r="E96" t="s">
        <v>4136</v>
      </c>
      <c r="F96" t="s">
        <v>3917</v>
      </c>
      <c r="G96" t="s">
        <v>4137</v>
      </c>
    </row>
    <row r="97" spans="1:7" ht="11.25" customHeight="1">
      <c r="A97" t="s">
        <v>16</v>
      </c>
      <c r="B97" t="s">
        <v>4138</v>
      </c>
      <c r="C97" t="s">
        <v>4139</v>
      </c>
      <c r="D97" t="s">
        <v>3948</v>
      </c>
      <c r="E97" t="s">
        <v>4140</v>
      </c>
      <c r="F97" t="s">
        <v>3917</v>
      </c>
      <c r="G97" t="s">
        <v>4141</v>
      </c>
    </row>
    <row r="98" spans="1:7" ht="11.25" customHeight="1">
      <c r="A98" t="s">
        <v>16</v>
      </c>
      <c r="B98" t="s">
        <v>4138</v>
      </c>
      <c r="C98" t="s">
        <v>4139</v>
      </c>
      <c r="D98" t="s">
        <v>4142</v>
      </c>
      <c r="E98" t="s">
        <v>4143</v>
      </c>
      <c r="F98" t="s">
        <v>3917</v>
      </c>
      <c r="G98" t="s">
        <v>4144</v>
      </c>
    </row>
    <row r="99" spans="1:7" ht="11.25" customHeight="1">
      <c r="A99" t="s">
        <v>16</v>
      </c>
      <c r="B99" t="s">
        <v>4138</v>
      </c>
      <c r="C99" t="s">
        <v>4139</v>
      </c>
      <c r="D99" t="s">
        <v>4145</v>
      </c>
      <c r="E99" t="s">
        <v>4146</v>
      </c>
      <c r="F99" t="s">
        <v>3917</v>
      </c>
      <c r="G99" t="s">
        <v>4147</v>
      </c>
    </row>
    <row r="100" spans="1:7" ht="11.25" customHeight="1">
      <c r="A100" t="s">
        <v>16</v>
      </c>
      <c r="B100" t="s">
        <v>4138</v>
      </c>
      <c r="C100" t="s">
        <v>4139</v>
      </c>
      <c r="D100" t="s">
        <v>4148</v>
      </c>
      <c r="E100" t="s">
        <v>4149</v>
      </c>
      <c r="F100" t="s">
        <v>3917</v>
      </c>
      <c r="G100" t="s">
        <v>4150</v>
      </c>
    </row>
    <row r="101" spans="1:7" ht="11.25" customHeight="1">
      <c r="A101" t="s">
        <v>16</v>
      </c>
      <c r="B101" t="s">
        <v>4138</v>
      </c>
      <c r="C101" t="s">
        <v>4139</v>
      </c>
      <c r="D101" t="s">
        <v>4138</v>
      </c>
      <c r="E101" t="s">
        <v>4139</v>
      </c>
      <c r="F101" t="s">
        <v>3914</v>
      </c>
      <c r="G101" t="s">
        <v>4151</v>
      </c>
    </row>
    <row r="102" spans="1:7" ht="11.25" customHeight="1">
      <c r="A102" t="s">
        <v>16</v>
      </c>
      <c r="B102" t="s">
        <v>4138</v>
      </c>
      <c r="C102" t="s">
        <v>4139</v>
      </c>
      <c r="D102" t="s">
        <v>4152</v>
      </c>
      <c r="E102" t="s">
        <v>4153</v>
      </c>
      <c r="F102" t="s">
        <v>4083</v>
      </c>
      <c r="G102" t="s">
        <v>4154</v>
      </c>
    </row>
    <row r="103" spans="1:7" ht="11.25" customHeight="1">
      <c r="A103" t="s">
        <v>16</v>
      </c>
      <c r="B103" t="s">
        <v>4138</v>
      </c>
      <c r="C103" t="s">
        <v>4139</v>
      </c>
      <c r="D103" t="s">
        <v>4155</v>
      </c>
      <c r="E103" t="s">
        <v>4156</v>
      </c>
      <c r="F103" t="s">
        <v>3917</v>
      </c>
      <c r="G103" t="s">
        <v>4157</v>
      </c>
    </row>
    <row r="104" spans="1:7" ht="11.25" customHeight="1">
      <c r="A104" t="s">
        <v>16</v>
      </c>
      <c r="B104" t="s">
        <v>4138</v>
      </c>
      <c r="C104" t="s">
        <v>4139</v>
      </c>
      <c r="D104" t="s">
        <v>4158</v>
      </c>
      <c r="E104" t="s">
        <v>4159</v>
      </c>
      <c r="F104" t="s">
        <v>3952</v>
      </c>
      <c r="G104" t="s">
        <v>4160</v>
      </c>
    </row>
    <row r="105" spans="1:7" ht="11.25" customHeight="1">
      <c r="A105" t="s">
        <v>16</v>
      </c>
      <c r="B105" t="s">
        <v>4138</v>
      </c>
      <c r="C105" t="s">
        <v>4139</v>
      </c>
      <c r="D105" t="s">
        <v>4161</v>
      </c>
      <c r="E105" t="s">
        <v>4162</v>
      </c>
      <c r="F105" t="s">
        <v>3952</v>
      </c>
      <c r="G105" t="s">
        <v>4163</v>
      </c>
    </row>
    <row r="106" spans="1:7" ht="11.25" customHeight="1">
      <c r="A106" t="s">
        <v>16</v>
      </c>
      <c r="B106" t="s">
        <v>4138</v>
      </c>
      <c r="C106" t="s">
        <v>4139</v>
      </c>
      <c r="D106" t="s">
        <v>4164</v>
      </c>
      <c r="E106" t="s">
        <v>4165</v>
      </c>
      <c r="F106" t="s">
        <v>3952</v>
      </c>
      <c r="G106" t="s">
        <v>4166</v>
      </c>
    </row>
    <row r="107" spans="1:7" ht="11.25" customHeight="1">
      <c r="A107" t="s">
        <v>16</v>
      </c>
      <c r="B107" t="s">
        <v>4138</v>
      </c>
      <c r="C107" t="s">
        <v>4139</v>
      </c>
      <c r="D107" t="s">
        <v>4167</v>
      </c>
      <c r="E107" t="s">
        <v>4168</v>
      </c>
      <c r="F107" t="s">
        <v>3917</v>
      </c>
      <c r="G107" t="s">
        <v>4169</v>
      </c>
    </row>
    <row r="108" spans="1:7" ht="11.25" customHeight="1">
      <c r="A108" t="s">
        <v>16</v>
      </c>
      <c r="B108" t="s">
        <v>4138</v>
      </c>
      <c r="C108" t="s">
        <v>4139</v>
      </c>
      <c r="D108" t="s">
        <v>4170</v>
      </c>
      <c r="E108" t="s">
        <v>4171</v>
      </c>
      <c r="F108" t="s">
        <v>3917</v>
      </c>
      <c r="G108" t="s">
        <v>4172</v>
      </c>
    </row>
    <row r="109" spans="1:7" ht="11.25" customHeight="1">
      <c r="A109" t="s">
        <v>16</v>
      </c>
      <c r="B109" t="s">
        <v>4138</v>
      </c>
      <c r="C109" t="s">
        <v>4139</v>
      </c>
      <c r="D109" t="s">
        <v>4173</v>
      </c>
      <c r="E109" t="s">
        <v>4174</v>
      </c>
      <c r="F109" t="s">
        <v>3917</v>
      </c>
      <c r="G109" t="s">
        <v>4175</v>
      </c>
    </row>
    <row r="110" spans="1:7" ht="11.25" customHeight="1">
      <c r="A110" t="s">
        <v>16</v>
      </c>
      <c r="B110" t="s">
        <v>4138</v>
      </c>
      <c r="C110" t="s">
        <v>4139</v>
      </c>
      <c r="D110" t="s">
        <v>4176</v>
      </c>
      <c r="E110" t="s">
        <v>4177</v>
      </c>
      <c r="F110" t="s">
        <v>3917</v>
      </c>
      <c r="G110" t="s">
        <v>4178</v>
      </c>
    </row>
    <row r="111" spans="1:7" ht="11.25" customHeight="1">
      <c r="A111" t="s">
        <v>16</v>
      </c>
      <c r="B111" t="s">
        <v>4138</v>
      </c>
      <c r="C111" t="s">
        <v>4139</v>
      </c>
      <c r="D111" t="s">
        <v>4179</v>
      </c>
      <c r="E111" t="s">
        <v>4180</v>
      </c>
      <c r="F111" t="s">
        <v>3917</v>
      </c>
      <c r="G111" t="s">
        <v>4181</v>
      </c>
    </row>
    <row r="112" spans="1:7" ht="11.25" customHeight="1">
      <c r="A112" t="s">
        <v>16</v>
      </c>
      <c r="B112" t="s">
        <v>4182</v>
      </c>
      <c r="C112" t="s">
        <v>4183</v>
      </c>
      <c r="D112" t="s">
        <v>4184</v>
      </c>
      <c r="E112" t="s">
        <v>4185</v>
      </c>
      <c r="F112" t="s">
        <v>3917</v>
      </c>
      <c r="G112" t="s">
        <v>4186</v>
      </c>
    </row>
    <row r="113" spans="1:7" ht="11.25" customHeight="1">
      <c r="A113" t="s">
        <v>16</v>
      </c>
      <c r="B113" t="s">
        <v>4182</v>
      </c>
      <c r="C113" t="s">
        <v>4183</v>
      </c>
      <c r="D113" t="s">
        <v>3948</v>
      </c>
      <c r="E113" t="s">
        <v>4187</v>
      </c>
      <c r="F113" t="s">
        <v>3917</v>
      </c>
      <c r="G113" t="s">
        <v>4188</v>
      </c>
    </row>
    <row r="114" spans="1:7" ht="11.25" customHeight="1">
      <c r="A114" t="s">
        <v>16</v>
      </c>
      <c r="B114" t="s">
        <v>4182</v>
      </c>
      <c r="C114" t="s">
        <v>4183</v>
      </c>
      <c r="D114" t="s">
        <v>4189</v>
      </c>
      <c r="E114" t="s">
        <v>4190</v>
      </c>
      <c r="F114" t="s">
        <v>3917</v>
      </c>
      <c r="G114" t="s">
        <v>4191</v>
      </c>
    </row>
    <row r="115" spans="1:7" ht="11.25" customHeight="1">
      <c r="A115" t="s">
        <v>16</v>
      </c>
      <c r="B115" t="s">
        <v>4182</v>
      </c>
      <c r="C115" t="s">
        <v>4183</v>
      </c>
      <c r="D115" t="s">
        <v>4182</v>
      </c>
      <c r="E115" t="s">
        <v>4183</v>
      </c>
      <c r="F115" t="s">
        <v>3914</v>
      </c>
      <c r="G115" t="s">
        <v>4192</v>
      </c>
    </row>
    <row r="116" spans="1:7" ht="11.25" customHeight="1">
      <c r="A116" t="s">
        <v>16</v>
      </c>
      <c r="B116" t="s">
        <v>4182</v>
      </c>
      <c r="C116" t="s">
        <v>4183</v>
      </c>
      <c r="D116" t="s">
        <v>4193</v>
      </c>
      <c r="E116" t="s">
        <v>4194</v>
      </c>
      <c r="F116" t="s">
        <v>3952</v>
      </c>
      <c r="G116" t="s">
        <v>4195</v>
      </c>
    </row>
    <row r="117" spans="1:7" ht="11.25" customHeight="1">
      <c r="A117" t="s">
        <v>16</v>
      </c>
      <c r="B117" t="s">
        <v>4182</v>
      </c>
      <c r="C117" t="s">
        <v>4183</v>
      </c>
      <c r="D117" t="s">
        <v>4196</v>
      </c>
      <c r="E117" t="s">
        <v>4197</v>
      </c>
      <c r="F117" t="s">
        <v>3917</v>
      </c>
      <c r="G117" t="s">
        <v>4198</v>
      </c>
    </row>
    <row r="118" spans="1:7" ht="11.25" customHeight="1">
      <c r="A118" t="s">
        <v>16</v>
      </c>
      <c r="B118" t="s">
        <v>4182</v>
      </c>
      <c r="C118" t="s">
        <v>4183</v>
      </c>
      <c r="D118" t="s">
        <v>4199</v>
      </c>
      <c r="E118" t="s">
        <v>4200</v>
      </c>
      <c r="F118" t="s">
        <v>3917</v>
      </c>
      <c r="G118" t="s">
        <v>4201</v>
      </c>
    </row>
    <row r="119" spans="1:7" ht="11.25" customHeight="1">
      <c r="A119" t="s">
        <v>16</v>
      </c>
      <c r="B119" t="s">
        <v>4182</v>
      </c>
      <c r="C119" t="s">
        <v>4183</v>
      </c>
      <c r="D119" t="s">
        <v>4202</v>
      </c>
      <c r="E119" t="s">
        <v>4203</v>
      </c>
      <c r="F119" t="s">
        <v>3917</v>
      </c>
      <c r="G119" t="s">
        <v>4204</v>
      </c>
    </row>
    <row r="120" spans="1:7" ht="11.25" customHeight="1">
      <c r="A120" t="s">
        <v>16</v>
      </c>
      <c r="B120" t="s">
        <v>4182</v>
      </c>
      <c r="C120" t="s">
        <v>4183</v>
      </c>
      <c r="D120" t="s">
        <v>4205</v>
      </c>
      <c r="E120" t="s">
        <v>4206</v>
      </c>
      <c r="F120" t="s">
        <v>3917</v>
      </c>
      <c r="G120" t="s">
        <v>4207</v>
      </c>
    </row>
    <row r="121" spans="1:7" ht="11.25" customHeight="1">
      <c r="A121" t="s">
        <v>16</v>
      </c>
      <c r="B121" t="s">
        <v>4182</v>
      </c>
      <c r="C121" t="s">
        <v>4183</v>
      </c>
      <c r="D121" t="s">
        <v>4208</v>
      </c>
      <c r="E121" t="s">
        <v>4209</v>
      </c>
      <c r="F121" t="s">
        <v>3917</v>
      </c>
      <c r="G121" t="s">
        <v>4210</v>
      </c>
    </row>
    <row r="122" spans="1:7" ht="11.25" customHeight="1">
      <c r="A122" t="s">
        <v>16</v>
      </c>
      <c r="B122" t="s">
        <v>4182</v>
      </c>
      <c r="C122" t="s">
        <v>4183</v>
      </c>
      <c r="D122" t="s">
        <v>4211</v>
      </c>
      <c r="E122" t="s">
        <v>4212</v>
      </c>
      <c r="F122" t="s">
        <v>3917</v>
      </c>
      <c r="G122" t="s">
        <v>4213</v>
      </c>
    </row>
    <row r="123" spans="1:7" ht="11.25" customHeight="1">
      <c r="A123" t="s">
        <v>16</v>
      </c>
      <c r="B123" t="s">
        <v>4182</v>
      </c>
      <c r="C123" t="s">
        <v>4183</v>
      </c>
      <c r="D123" t="s">
        <v>4214</v>
      </c>
      <c r="E123" t="s">
        <v>4215</v>
      </c>
      <c r="F123" t="s">
        <v>3917</v>
      </c>
      <c r="G123" t="s">
        <v>4216</v>
      </c>
    </row>
    <row r="124" spans="1:7" ht="11.25" customHeight="1">
      <c r="A124" t="s">
        <v>16</v>
      </c>
      <c r="B124" t="s">
        <v>4182</v>
      </c>
      <c r="C124" t="s">
        <v>4183</v>
      </c>
      <c r="D124" t="s">
        <v>4217</v>
      </c>
      <c r="E124" t="s">
        <v>4218</v>
      </c>
      <c r="F124" t="s">
        <v>3917</v>
      </c>
      <c r="G124" t="s">
        <v>4219</v>
      </c>
    </row>
    <row r="125" spans="1:7" ht="11.25" customHeight="1">
      <c r="A125" t="s">
        <v>16</v>
      </c>
      <c r="B125" t="s">
        <v>4182</v>
      </c>
      <c r="C125" t="s">
        <v>4183</v>
      </c>
      <c r="D125" t="s">
        <v>4220</v>
      </c>
      <c r="E125" t="s">
        <v>4221</v>
      </c>
      <c r="F125" t="s">
        <v>3917</v>
      </c>
      <c r="G125" t="s">
        <v>4222</v>
      </c>
    </row>
    <row r="126" spans="1:7" ht="11.25" customHeight="1">
      <c r="A126" t="s">
        <v>16</v>
      </c>
      <c r="B126" t="s">
        <v>4182</v>
      </c>
      <c r="C126" t="s">
        <v>4183</v>
      </c>
      <c r="D126" t="s">
        <v>4223</v>
      </c>
      <c r="E126" t="s">
        <v>4224</v>
      </c>
      <c r="F126" t="s">
        <v>3917</v>
      </c>
      <c r="G126" t="s">
        <v>4225</v>
      </c>
    </row>
    <row r="127" spans="1:7" ht="11.25" customHeight="1">
      <c r="A127" t="s">
        <v>16</v>
      </c>
      <c r="B127" t="s">
        <v>4226</v>
      </c>
      <c r="C127" t="s">
        <v>4227</v>
      </c>
      <c r="D127" t="s">
        <v>4228</v>
      </c>
      <c r="E127" t="s">
        <v>4229</v>
      </c>
      <c r="F127" t="s">
        <v>3917</v>
      </c>
      <c r="G127" t="s">
        <v>4230</v>
      </c>
    </row>
    <row r="128" spans="1:7" ht="11.25" customHeight="1">
      <c r="A128" t="s">
        <v>16</v>
      </c>
      <c r="B128" t="s">
        <v>4226</v>
      </c>
      <c r="C128" t="s">
        <v>4227</v>
      </c>
      <c r="D128" t="s">
        <v>4231</v>
      </c>
      <c r="E128" t="s">
        <v>4232</v>
      </c>
      <c r="F128" t="s">
        <v>3917</v>
      </c>
      <c r="G128" t="s">
        <v>4233</v>
      </c>
    </row>
    <row r="129" spans="1:7" ht="11.25" customHeight="1">
      <c r="A129" t="s">
        <v>16</v>
      </c>
      <c r="B129" t="s">
        <v>4226</v>
      </c>
      <c r="C129" t="s">
        <v>4227</v>
      </c>
      <c r="D129" t="s">
        <v>4234</v>
      </c>
      <c r="E129" t="s">
        <v>4235</v>
      </c>
      <c r="F129" t="s">
        <v>3917</v>
      </c>
      <c r="G129" t="s">
        <v>4236</v>
      </c>
    </row>
    <row r="130" spans="1:7" ht="11.25" customHeight="1">
      <c r="A130" t="s">
        <v>16</v>
      </c>
      <c r="B130" t="s">
        <v>4226</v>
      </c>
      <c r="C130" t="s">
        <v>4227</v>
      </c>
      <c r="D130" t="s">
        <v>4237</v>
      </c>
      <c r="E130" t="s">
        <v>4238</v>
      </c>
      <c r="F130" t="s">
        <v>3917</v>
      </c>
      <c r="G130" t="s">
        <v>4239</v>
      </c>
    </row>
    <row r="131" spans="1:7" ht="11.25" customHeight="1">
      <c r="A131" t="s">
        <v>16</v>
      </c>
      <c r="B131" t="s">
        <v>4226</v>
      </c>
      <c r="C131" t="s">
        <v>4227</v>
      </c>
      <c r="D131" t="s">
        <v>4240</v>
      </c>
      <c r="E131" t="s">
        <v>4241</v>
      </c>
      <c r="F131" t="s">
        <v>3917</v>
      </c>
      <c r="G131" t="s">
        <v>4242</v>
      </c>
    </row>
    <row r="132" spans="1:7" ht="11.25" customHeight="1">
      <c r="A132" t="s">
        <v>16</v>
      </c>
      <c r="B132" t="s">
        <v>4226</v>
      </c>
      <c r="C132" t="s">
        <v>4227</v>
      </c>
      <c r="D132" t="s">
        <v>4226</v>
      </c>
      <c r="E132" t="s">
        <v>4227</v>
      </c>
      <c r="F132" t="s">
        <v>3914</v>
      </c>
      <c r="G132" t="s">
        <v>4243</v>
      </c>
    </row>
    <row r="133" spans="1:7" ht="11.25" customHeight="1">
      <c r="A133" t="s">
        <v>16</v>
      </c>
      <c r="B133" t="s">
        <v>4226</v>
      </c>
      <c r="C133" t="s">
        <v>4227</v>
      </c>
      <c r="D133" t="s">
        <v>4244</v>
      </c>
      <c r="E133" t="s">
        <v>4245</v>
      </c>
      <c r="F133" t="s">
        <v>4083</v>
      </c>
      <c r="G133" t="s">
        <v>4246</v>
      </c>
    </row>
    <row r="134" spans="1:7" ht="11.25" customHeight="1">
      <c r="A134" t="s">
        <v>16</v>
      </c>
      <c r="B134" t="s">
        <v>4226</v>
      </c>
      <c r="C134" t="s">
        <v>4227</v>
      </c>
      <c r="D134" t="s">
        <v>4247</v>
      </c>
      <c r="E134" t="s">
        <v>4248</v>
      </c>
      <c r="F134" t="s">
        <v>3917</v>
      </c>
      <c r="G134" t="s">
        <v>4249</v>
      </c>
    </row>
    <row r="135" spans="1:7" ht="11.25" customHeight="1">
      <c r="A135" t="s">
        <v>16</v>
      </c>
      <c r="B135" t="s">
        <v>4226</v>
      </c>
      <c r="C135" t="s">
        <v>4227</v>
      </c>
      <c r="D135" t="s">
        <v>4205</v>
      </c>
      <c r="E135" t="s">
        <v>4250</v>
      </c>
      <c r="F135" t="s">
        <v>3917</v>
      </c>
      <c r="G135" t="s">
        <v>4251</v>
      </c>
    </row>
    <row r="136" spans="1:7" ht="11.25" customHeight="1">
      <c r="A136" t="s">
        <v>16</v>
      </c>
      <c r="B136" t="s">
        <v>4226</v>
      </c>
      <c r="C136" t="s">
        <v>4227</v>
      </c>
      <c r="D136" t="s">
        <v>4252</v>
      </c>
      <c r="E136" t="s">
        <v>4253</v>
      </c>
      <c r="F136" t="s">
        <v>3917</v>
      </c>
      <c r="G136" t="s">
        <v>4254</v>
      </c>
    </row>
    <row r="137" spans="1:7" ht="11.25" customHeight="1">
      <c r="A137" t="s">
        <v>16</v>
      </c>
      <c r="B137" t="s">
        <v>4226</v>
      </c>
      <c r="C137" t="s">
        <v>4227</v>
      </c>
      <c r="D137" t="s">
        <v>4255</v>
      </c>
      <c r="E137" t="s">
        <v>4256</v>
      </c>
      <c r="F137" t="s">
        <v>3917</v>
      </c>
      <c r="G137" t="s">
        <v>4257</v>
      </c>
    </row>
    <row r="138" spans="1:7" ht="11.25" customHeight="1">
      <c r="A138" t="s">
        <v>16</v>
      </c>
      <c r="B138" t="s">
        <v>4226</v>
      </c>
      <c r="C138" t="s">
        <v>4227</v>
      </c>
      <c r="D138" t="s">
        <v>3969</v>
      </c>
      <c r="E138" t="s">
        <v>4258</v>
      </c>
      <c r="F138" t="s">
        <v>3917</v>
      </c>
      <c r="G138" t="s">
        <v>4259</v>
      </c>
    </row>
    <row r="139" spans="1:7" ht="11.25" customHeight="1">
      <c r="A139" t="s">
        <v>16</v>
      </c>
      <c r="B139" t="s">
        <v>4226</v>
      </c>
      <c r="C139" t="s">
        <v>4227</v>
      </c>
      <c r="D139" t="s">
        <v>4260</v>
      </c>
      <c r="E139" t="s">
        <v>4261</v>
      </c>
      <c r="F139" t="s">
        <v>3917</v>
      </c>
      <c r="G139" t="s">
        <v>4262</v>
      </c>
    </row>
    <row r="140" spans="1:7" ht="11.25" customHeight="1">
      <c r="A140" t="s">
        <v>16</v>
      </c>
      <c r="B140" t="s">
        <v>4226</v>
      </c>
      <c r="C140" t="s">
        <v>4227</v>
      </c>
      <c r="D140" t="s">
        <v>4263</v>
      </c>
      <c r="E140" t="s">
        <v>4264</v>
      </c>
      <c r="F140" t="s">
        <v>3917</v>
      </c>
      <c r="G140" t="s">
        <v>4265</v>
      </c>
    </row>
    <row r="141" spans="1:7" ht="11.25" customHeight="1">
      <c r="A141" t="s">
        <v>16</v>
      </c>
      <c r="B141" t="s">
        <v>4266</v>
      </c>
      <c r="C141" t="s">
        <v>4267</v>
      </c>
      <c r="D141" t="s">
        <v>4268</v>
      </c>
      <c r="E141" t="s">
        <v>4269</v>
      </c>
      <c r="F141" t="s">
        <v>3917</v>
      </c>
      <c r="G141" t="s">
        <v>4270</v>
      </c>
    </row>
    <row r="142" spans="1:7" ht="11.25" customHeight="1">
      <c r="A142" t="s">
        <v>16</v>
      </c>
      <c r="B142" t="s">
        <v>4266</v>
      </c>
      <c r="C142" t="s">
        <v>4267</v>
      </c>
      <c r="D142" t="s">
        <v>4271</v>
      </c>
      <c r="E142" t="s">
        <v>4272</v>
      </c>
      <c r="F142" t="s">
        <v>3917</v>
      </c>
      <c r="G142" t="s">
        <v>4273</v>
      </c>
    </row>
    <row r="143" spans="1:7" ht="11.25" customHeight="1">
      <c r="A143" t="s">
        <v>16</v>
      </c>
      <c r="B143" t="s">
        <v>4266</v>
      </c>
      <c r="C143" t="s">
        <v>4267</v>
      </c>
      <c r="D143" t="s">
        <v>4148</v>
      </c>
      <c r="E143" t="s">
        <v>4274</v>
      </c>
      <c r="F143" t="s">
        <v>3917</v>
      </c>
      <c r="G143" t="s">
        <v>4275</v>
      </c>
    </row>
    <row r="144" spans="1:7" ht="11.25" customHeight="1">
      <c r="A144" t="s">
        <v>16</v>
      </c>
      <c r="B144" t="s">
        <v>4266</v>
      </c>
      <c r="C144" t="s">
        <v>4267</v>
      </c>
      <c r="D144" t="s">
        <v>4276</v>
      </c>
      <c r="E144" t="s">
        <v>4277</v>
      </c>
      <c r="F144" t="s">
        <v>3917</v>
      </c>
      <c r="G144" t="s">
        <v>4278</v>
      </c>
    </row>
    <row r="145" spans="1:7" ht="11.25" customHeight="1">
      <c r="A145" t="s">
        <v>16</v>
      </c>
      <c r="B145" t="s">
        <v>4266</v>
      </c>
      <c r="C145" t="s">
        <v>4267</v>
      </c>
      <c r="D145" t="s">
        <v>4279</v>
      </c>
      <c r="E145" t="s">
        <v>4280</v>
      </c>
      <c r="F145" t="s">
        <v>3917</v>
      </c>
      <c r="G145" t="s">
        <v>4281</v>
      </c>
    </row>
    <row r="146" spans="1:7" ht="11.25" customHeight="1">
      <c r="A146" t="s">
        <v>16</v>
      </c>
      <c r="B146" t="s">
        <v>4266</v>
      </c>
      <c r="C146" t="s">
        <v>4267</v>
      </c>
      <c r="D146" t="s">
        <v>4266</v>
      </c>
      <c r="E146" t="s">
        <v>4267</v>
      </c>
      <c r="F146" t="s">
        <v>3914</v>
      </c>
      <c r="G146" t="s">
        <v>4282</v>
      </c>
    </row>
    <row r="147" spans="1:7" ht="11.25" customHeight="1">
      <c r="A147" t="s">
        <v>16</v>
      </c>
      <c r="B147" t="s">
        <v>4266</v>
      </c>
      <c r="C147" t="s">
        <v>4267</v>
      </c>
      <c r="D147" t="s">
        <v>4283</v>
      </c>
      <c r="E147" t="s">
        <v>4284</v>
      </c>
      <c r="F147" t="s">
        <v>3917</v>
      </c>
      <c r="G147" t="s">
        <v>4285</v>
      </c>
    </row>
    <row r="148" spans="1:7" ht="11.25" customHeight="1">
      <c r="A148" t="s">
        <v>16</v>
      </c>
      <c r="B148" t="s">
        <v>4266</v>
      </c>
      <c r="C148" t="s">
        <v>4267</v>
      </c>
      <c r="D148" t="s">
        <v>4286</v>
      </c>
      <c r="E148" t="s">
        <v>4287</v>
      </c>
      <c r="F148" t="s">
        <v>3917</v>
      </c>
      <c r="G148" t="s">
        <v>4288</v>
      </c>
    </row>
    <row r="149" spans="1:7" ht="11.25" customHeight="1">
      <c r="A149" t="s">
        <v>16</v>
      </c>
      <c r="B149" t="s">
        <v>4266</v>
      </c>
      <c r="C149" t="s">
        <v>4267</v>
      </c>
      <c r="D149" t="s">
        <v>4289</v>
      </c>
      <c r="E149" t="s">
        <v>4290</v>
      </c>
      <c r="F149" t="s">
        <v>3917</v>
      </c>
      <c r="G149" t="s">
        <v>4291</v>
      </c>
    </row>
    <row r="150" spans="1:7" ht="11.25" customHeight="1">
      <c r="A150" t="s">
        <v>16</v>
      </c>
      <c r="B150" t="s">
        <v>4266</v>
      </c>
      <c r="C150" t="s">
        <v>4267</v>
      </c>
      <c r="D150" t="s">
        <v>4173</v>
      </c>
      <c r="E150" t="s">
        <v>4292</v>
      </c>
      <c r="F150" t="s">
        <v>3917</v>
      </c>
      <c r="G150" t="s">
        <v>4293</v>
      </c>
    </row>
    <row r="151" spans="1:7" ht="11.25" customHeight="1">
      <c r="A151" t="s">
        <v>16</v>
      </c>
      <c r="B151" t="s">
        <v>4266</v>
      </c>
      <c r="C151" t="s">
        <v>4267</v>
      </c>
      <c r="D151" t="s">
        <v>4294</v>
      </c>
      <c r="E151" t="s">
        <v>4295</v>
      </c>
      <c r="F151" t="s">
        <v>4083</v>
      </c>
      <c r="G151" t="s">
        <v>4296</v>
      </c>
    </row>
    <row r="152" spans="1:7" ht="11.25" customHeight="1">
      <c r="A152" t="s">
        <v>16</v>
      </c>
      <c r="B152" t="s">
        <v>4266</v>
      </c>
      <c r="C152" t="s">
        <v>4267</v>
      </c>
      <c r="D152" t="s">
        <v>4297</v>
      </c>
      <c r="E152" t="s">
        <v>4298</v>
      </c>
      <c r="F152" t="s">
        <v>3917</v>
      </c>
      <c r="G152" t="s">
        <v>4299</v>
      </c>
    </row>
    <row r="153" spans="1:7" ht="11.25" customHeight="1">
      <c r="A153" t="s">
        <v>16</v>
      </c>
      <c r="B153" t="s">
        <v>4266</v>
      </c>
      <c r="C153" t="s">
        <v>4267</v>
      </c>
      <c r="D153" t="s">
        <v>4300</v>
      </c>
      <c r="E153" t="s">
        <v>4301</v>
      </c>
      <c r="F153" t="s">
        <v>3917</v>
      </c>
      <c r="G153" t="s">
        <v>4302</v>
      </c>
    </row>
    <row r="154" spans="1:7" ht="11.25" customHeight="1">
      <c r="A154" t="s">
        <v>16</v>
      </c>
      <c r="B154" t="s">
        <v>4266</v>
      </c>
      <c r="C154" t="s">
        <v>4267</v>
      </c>
      <c r="D154" t="s">
        <v>4303</v>
      </c>
      <c r="E154" t="s">
        <v>4304</v>
      </c>
      <c r="F154" t="s">
        <v>3917</v>
      </c>
      <c r="G154" t="s">
        <v>4305</v>
      </c>
    </row>
    <row r="155" spans="1:7" ht="11.25" customHeight="1">
      <c r="A155" t="s">
        <v>16</v>
      </c>
      <c r="B155" t="s">
        <v>4266</v>
      </c>
      <c r="C155" t="s">
        <v>4267</v>
      </c>
      <c r="D155" t="s">
        <v>4306</v>
      </c>
      <c r="E155" t="s">
        <v>4307</v>
      </c>
      <c r="F155" t="s">
        <v>3917</v>
      </c>
      <c r="G155" t="s">
        <v>4308</v>
      </c>
    </row>
    <row r="156" spans="1:7" ht="11.25" customHeight="1">
      <c r="A156" t="s">
        <v>16</v>
      </c>
      <c r="B156" t="s">
        <v>4266</v>
      </c>
      <c r="C156" t="s">
        <v>4267</v>
      </c>
      <c r="D156" t="s">
        <v>4126</v>
      </c>
      <c r="E156" t="s">
        <v>4309</v>
      </c>
      <c r="F156" t="s">
        <v>3917</v>
      </c>
      <c r="G156" t="s">
        <v>4310</v>
      </c>
    </row>
    <row r="157" spans="1:7" ht="11.25" customHeight="1">
      <c r="A157" t="s">
        <v>16</v>
      </c>
      <c r="B157" t="s">
        <v>4266</v>
      </c>
      <c r="C157" t="s">
        <v>4267</v>
      </c>
      <c r="D157" t="s">
        <v>4129</v>
      </c>
      <c r="E157" t="s">
        <v>4311</v>
      </c>
      <c r="F157" t="s">
        <v>3917</v>
      </c>
      <c r="G157" t="s">
        <v>4312</v>
      </c>
    </row>
    <row r="158" spans="1:7" ht="11.25" customHeight="1">
      <c r="A158" t="s">
        <v>16</v>
      </c>
      <c r="B158" t="s">
        <v>4266</v>
      </c>
      <c r="C158" t="s">
        <v>4267</v>
      </c>
      <c r="D158" t="s">
        <v>4313</v>
      </c>
      <c r="E158" t="s">
        <v>4314</v>
      </c>
      <c r="F158" t="s">
        <v>3917</v>
      </c>
      <c r="G158" t="s">
        <v>4315</v>
      </c>
    </row>
    <row r="159" spans="1:7" ht="11.25" customHeight="1">
      <c r="A159" t="s">
        <v>16</v>
      </c>
      <c r="B159" t="s">
        <v>4266</v>
      </c>
      <c r="C159" t="s">
        <v>4267</v>
      </c>
      <c r="D159" t="s">
        <v>4316</v>
      </c>
      <c r="E159" t="s">
        <v>4317</v>
      </c>
      <c r="F159" t="s">
        <v>3917</v>
      </c>
      <c r="G159" t="s">
        <v>4318</v>
      </c>
    </row>
    <row r="160" spans="1:7" ht="11.25" customHeight="1">
      <c r="A160" t="s">
        <v>16</v>
      </c>
      <c r="B160" t="s">
        <v>4266</v>
      </c>
      <c r="C160" t="s">
        <v>4267</v>
      </c>
      <c r="D160" t="s">
        <v>4319</v>
      </c>
      <c r="E160" t="s">
        <v>4320</v>
      </c>
      <c r="F160" t="s">
        <v>3917</v>
      </c>
      <c r="G160" t="s">
        <v>4321</v>
      </c>
    </row>
    <row r="161" spans="1:7" ht="11.25" customHeight="1">
      <c r="A161" t="s">
        <v>16</v>
      </c>
      <c r="B161" t="s">
        <v>4322</v>
      </c>
      <c r="C161" t="s">
        <v>4323</v>
      </c>
      <c r="D161" t="s">
        <v>4324</v>
      </c>
      <c r="E161" t="s">
        <v>4325</v>
      </c>
      <c r="F161" t="s">
        <v>3917</v>
      </c>
      <c r="G161" t="s">
        <v>4326</v>
      </c>
    </row>
    <row r="162" spans="1:7" ht="11.25" customHeight="1">
      <c r="A162" t="s">
        <v>16</v>
      </c>
      <c r="B162" t="s">
        <v>4322</v>
      </c>
      <c r="C162" t="s">
        <v>4323</v>
      </c>
      <c r="D162" t="s">
        <v>4327</v>
      </c>
      <c r="E162" t="s">
        <v>4328</v>
      </c>
      <c r="F162" t="s">
        <v>3917</v>
      </c>
      <c r="G162" t="s">
        <v>4329</v>
      </c>
    </row>
    <row r="163" spans="1:7" ht="11.25" customHeight="1">
      <c r="A163" t="s">
        <v>16</v>
      </c>
      <c r="B163" t="s">
        <v>4322</v>
      </c>
      <c r="C163" t="s">
        <v>4323</v>
      </c>
      <c r="D163" t="s">
        <v>4330</v>
      </c>
      <c r="E163" t="s">
        <v>4331</v>
      </c>
      <c r="F163" t="s">
        <v>3917</v>
      </c>
      <c r="G163" t="s">
        <v>4332</v>
      </c>
    </row>
    <row r="164" spans="1:7" ht="11.25" customHeight="1">
      <c r="A164" t="s">
        <v>16</v>
      </c>
      <c r="B164" t="s">
        <v>4322</v>
      </c>
      <c r="C164" t="s">
        <v>4323</v>
      </c>
      <c r="D164" t="s">
        <v>4333</v>
      </c>
      <c r="E164" t="s">
        <v>4334</v>
      </c>
      <c r="F164" t="s">
        <v>3917</v>
      </c>
      <c r="G164" t="s">
        <v>4335</v>
      </c>
    </row>
    <row r="165" spans="1:7" ht="11.25" customHeight="1">
      <c r="A165" t="s">
        <v>16</v>
      </c>
      <c r="B165" t="s">
        <v>4322</v>
      </c>
      <c r="C165" t="s">
        <v>4323</v>
      </c>
      <c r="D165" t="s">
        <v>4244</v>
      </c>
      <c r="E165" t="s">
        <v>4336</v>
      </c>
      <c r="F165" t="s">
        <v>3917</v>
      </c>
      <c r="G165" t="s">
        <v>4337</v>
      </c>
    </row>
    <row r="166" spans="1:7" ht="11.25" customHeight="1">
      <c r="A166" t="s">
        <v>16</v>
      </c>
      <c r="B166" t="s">
        <v>4322</v>
      </c>
      <c r="C166" t="s">
        <v>4323</v>
      </c>
      <c r="D166" t="s">
        <v>4338</v>
      </c>
      <c r="E166" t="s">
        <v>4339</v>
      </c>
      <c r="F166" t="s">
        <v>3917</v>
      </c>
      <c r="G166" t="s">
        <v>4340</v>
      </c>
    </row>
    <row r="167" spans="1:7" ht="11.25" customHeight="1">
      <c r="A167" t="s">
        <v>16</v>
      </c>
      <c r="B167" t="s">
        <v>4322</v>
      </c>
      <c r="C167" t="s">
        <v>4323</v>
      </c>
      <c r="D167" t="s">
        <v>4322</v>
      </c>
      <c r="E167" t="s">
        <v>4323</v>
      </c>
      <c r="F167" t="s">
        <v>3914</v>
      </c>
      <c r="G167" t="s">
        <v>4341</v>
      </c>
    </row>
    <row r="168" spans="1:7" ht="11.25" customHeight="1">
      <c r="A168" t="s">
        <v>16</v>
      </c>
      <c r="B168" t="s">
        <v>4322</v>
      </c>
      <c r="C168" t="s">
        <v>4323</v>
      </c>
      <c r="D168" t="s">
        <v>4342</v>
      </c>
      <c r="E168" t="s">
        <v>4343</v>
      </c>
      <c r="F168" t="s">
        <v>3917</v>
      </c>
      <c r="G168" t="s">
        <v>4344</v>
      </c>
    </row>
    <row r="169" spans="1:7" ht="11.25" customHeight="1">
      <c r="A169" t="s">
        <v>16</v>
      </c>
      <c r="B169" t="s">
        <v>4322</v>
      </c>
      <c r="C169" t="s">
        <v>4323</v>
      </c>
      <c r="D169" t="s">
        <v>4345</v>
      </c>
      <c r="E169" t="s">
        <v>4346</v>
      </c>
      <c r="F169" t="s">
        <v>3917</v>
      </c>
      <c r="G169" t="s">
        <v>4347</v>
      </c>
    </row>
    <row r="170" spans="1:7" ht="11.25" customHeight="1">
      <c r="A170" t="s">
        <v>16</v>
      </c>
      <c r="B170" t="s">
        <v>4322</v>
      </c>
      <c r="C170" t="s">
        <v>4323</v>
      </c>
      <c r="D170" t="s">
        <v>4348</v>
      </c>
      <c r="E170" t="s">
        <v>4349</v>
      </c>
      <c r="F170" t="s">
        <v>3917</v>
      </c>
      <c r="G170" t="s">
        <v>4350</v>
      </c>
    </row>
    <row r="171" spans="1:7" ht="11.25" customHeight="1">
      <c r="A171" t="s">
        <v>16</v>
      </c>
      <c r="B171" t="s">
        <v>4322</v>
      </c>
      <c r="C171" t="s">
        <v>4323</v>
      </c>
      <c r="D171" t="s">
        <v>4351</v>
      </c>
      <c r="E171" t="s">
        <v>4352</v>
      </c>
      <c r="F171" t="s">
        <v>3917</v>
      </c>
      <c r="G171" t="s">
        <v>4353</v>
      </c>
    </row>
    <row r="172" spans="1:7" ht="11.25" customHeight="1">
      <c r="A172" t="s">
        <v>16</v>
      </c>
      <c r="B172" t="s">
        <v>4354</v>
      </c>
      <c r="C172" t="s">
        <v>4355</v>
      </c>
      <c r="D172" t="s">
        <v>4356</v>
      </c>
      <c r="E172" t="s">
        <v>4357</v>
      </c>
      <c r="F172" t="s">
        <v>3917</v>
      </c>
      <c r="G172" t="s">
        <v>4358</v>
      </c>
    </row>
    <row r="173" spans="1:7" ht="11.25" customHeight="1">
      <c r="A173" t="s">
        <v>16</v>
      </c>
      <c r="B173" t="s">
        <v>4354</v>
      </c>
      <c r="C173" t="s">
        <v>4355</v>
      </c>
      <c r="D173" t="s">
        <v>4359</v>
      </c>
      <c r="E173" t="s">
        <v>4360</v>
      </c>
      <c r="F173" t="s">
        <v>3917</v>
      </c>
      <c r="G173" t="s">
        <v>4361</v>
      </c>
    </row>
    <row r="174" spans="1:7" ht="11.25" customHeight="1">
      <c r="A174" t="s">
        <v>16</v>
      </c>
      <c r="B174" t="s">
        <v>4354</v>
      </c>
      <c r="C174" t="s">
        <v>4355</v>
      </c>
      <c r="D174" t="s">
        <v>4362</v>
      </c>
      <c r="E174" t="s">
        <v>4363</v>
      </c>
      <c r="F174" t="s">
        <v>3917</v>
      </c>
      <c r="G174" t="s">
        <v>4364</v>
      </c>
    </row>
    <row r="175" spans="1:7" ht="11.25" customHeight="1">
      <c r="A175" t="s">
        <v>16</v>
      </c>
      <c r="B175" t="s">
        <v>4354</v>
      </c>
      <c r="C175" t="s">
        <v>4355</v>
      </c>
      <c r="D175" t="s">
        <v>4365</v>
      </c>
      <c r="E175" t="s">
        <v>4366</v>
      </c>
      <c r="F175" t="s">
        <v>3917</v>
      </c>
      <c r="G175" t="s">
        <v>4367</v>
      </c>
    </row>
    <row r="176" spans="1:7" ht="11.25" customHeight="1">
      <c r="A176" t="s">
        <v>16</v>
      </c>
      <c r="B176" t="s">
        <v>4354</v>
      </c>
      <c r="C176" t="s">
        <v>4355</v>
      </c>
      <c r="D176" t="s">
        <v>4354</v>
      </c>
      <c r="E176" t="s">
        <v>4355</v>
      </c>
      <c r="F176" t="s">
        <v>3914</v>
      </c>
      <c r="G176" t="s">
        <v>4368</v>
      </c>
    </row>
    <row r="177" spans="1:7" ht="11.25" customHeight="1">
      <c r="A177" t="s">
        <v>16</v>
      </c>
      <c r="B177" t="s">
        <v>4354</v>
      </c>
      <c r="C177" t="s">
        <v>4355</v>
      </c>
      <c r="D177" t="s">
        <v>4369</v>
      </c>
      <c r="E177" t="s">
        <v>4370</v>
      </c>
      <c r="F177" t="s">
        <v>3917</v>
      </c>
      <c r="G177" t="s">
        <v>4371</v>
      </c>
    </row>
    <row r="178" spans="1:7" ht="11.25" customHeight="1">
      <c r="A178" t="s">
        <v>16</v>
      </c>
      <c r="B178" t="s">
        <v>4354</v>
      </c>
      <c r="C178" t="s">
        <v>4355</v>
      </c>
      <c r="D178" t="s">
        <v>4372</v>
      </c>
      <c r="E178" t="s">
        <v>4373</v>
      </c>
      <c r="F178" t="s">
        <v>3917</v>
      </c>
      <c r="G178" t="s">
        <v>4374</v>
      </c>
    </row>
    <row r="179" spans="1:7" ht="11.25" customHeight="1">
      <c r="A179" t="s">
        <v>16</v>
      </c>
      <c r="B179" t="s">
        <v>4354</v>
      </c>
      <c r="C179" t="s">
        <v>4355</v>
      </c>
      <c r="D179" t="s">
        <v>4375</v>
      </c>
      <c r="E179" t="s">
        <v>4376</v>
      </c>
      <c r="F179" t="s">
        <v>3917</v>
      </c>
      <c r="G179" t="s">
        <v>4377</v>
      </c>
    </row>
    <row r="180" spans="1:7" ht="11.25" customHeight="1">
      <c r="A180" t="s">
        <v>16</v>
      </c>
      <c r="B180" t="s">
        <v>4354</v>
      </c>
      <c r="C180" t="s">
        <v>4355</v>
      </c>
      <c r="D180" t="s">
        <v>4378</v>
      </c>
      <c r="E180" t="s">
        <v>4379</v>
      </c>
      <c r="F180" t="s">
        <v>3917</v>
      </c>
      <c r="G180" t="s">
        <v>4380</v>
      </c>
    </row>
    <row r="181" spans="1:7" ht="11.25" customHeight="1">
      <c r="A181" t="s">
        <v>16</v>
      </c>
      <c r="B181" t="s">
        <v>4354</v>
      </c>
      <c r="C181" t="s">
        <v>4355</v>
      </c>
      <c r="D181" t="s">
        <v>4381</v>
      </c>
      <c r="E181" t="s">
        <v>4382</v>
      </c>
      <c r="F181" t="s">
        <v>3917</v>
      </c>
      <c r="G181" t="s">
        <v>4383</v>
      </c>
    </row>
    <row r="182" spans="1:7" ht="11.25" customHeight="1">
      <c r="A182" t="s">
        <v>16</v>
      </c>
      <c r="B182" t="s">
        <v>4354</v>
      </c>
      <c r="C182" t="s">
        <v>4355</v>
      </c>
      <c r="D182" t="s">
        <v>4384</v>
      </c>
      <c r="E182" t="s">
        <v>4385</v>
      </c>
      <c r="F182" t="s">
        <v>3917</v>
      </c>
      <c r="G182" t="s">
        <v>4386</v>
      </c>
    </row>
    <row r="183" spans="1:7" ht="11.25" customHeight="1">
      <c r="A183" t="s">
        <v>16</v>
      </c>
      <c r="B183" t="s">
        <v>4387</v>
      </c>
      <c r="C183" t="s">
        <v>4388</v>
      </c>
      <c r="D183" t="s">
        <v>4389</v>
      </c>
      <c r="E183" t="s">
        <v>4390</v>
      </c>
      <c r="F183" t="s">
        <v>3917</v>
      </c>
      <c r="G183" t="s">
        <v>4391</v>
      </c>
    </row>
    <row r="184" spans="1:7" ht="11.25" customHeight="1">
      <c r="A184" t="s">
        <v>16</v>
      </c>
      <c r="B184" t="s">
        <v>4387</v>
      </c>
      <c r="C184" t="s">
        <v>4388</v>
      </c>
      <c r="D184" t="s">
        <v>4392</v>
      </c>
      <c r="E184" t="s">
        <v>4393</v>
      </c>
      <c r="F184" t="s">
        <v>3917</v>
      </c>
      <c r="G184" t="s">
        <v>4394</v>
      </c>
    </row>
    <row r="185" spans="1:7" ht="11.25" customHeight="1">
      <c r="A185" t="s">
        <v>16</v>
      </c>
      <c r="B185" t="s">
        <v>4387</v>
      </c>
      <c r="C185" t="s">
        <v>4388</v>
      </c>
      <c r="D185" t="s">
        <v>4395</v>
      </c>
      <c r="E185" t="s">
        <v>4396</v>
      </c>
      <c r="F185" t="s">
        <v>3917</v>
      </c>
      <c r="G185" t="s">
        <v>4397</v>
      </c>
    </row>
    <row r="186" spans="1:7" ht="11.25" customHeight="1">
      <c r="A186" t="s">
        <v>16</v>
      </c>
      <c r="B186" t="s">
        <v>4387</v>
      </c>
      <c r="C186" t="s">
        <v>4388</v>
      </c>
      <c r="D186" t="s">
        <v>4362</v>
      </c>
      <c r="E186" t="s">
        <v>4398</v>
      </c>
      <c r="F186" t="s">
        <v>3917</v>
      </c>
      <c r="G186" t="s">
        <v>4399</v>
      </c>
    </row>
    <row r="187" spans="1:7" ht="11.25" customHeight="1">
      <c r="A187" t="s">
        <v>16</v>
      </c>
      <c r="B187" t="s">
        <v>4387</v>
      </c>
      <c r="C187" t="s">
        <v>4388</v>
      </c>
      <c r="D187" t="s">
        <v>4387</v>
      </c>
      <c r="E187" t="s">
        <v>4388</v>
      </c>
      <c r="F187" t="s">
        <v>3914</v>
      </c>
      <c r="G187" t="s">
        <v>4400</v>
      </c>
    </row>
    <row r="188" spans="1:7" ht="11.25" customHeight="1">
      <c r="A188" t="s">
        <v>16</v>
      </c>
      <c r="B188" t="s">
        <v>4387</v>
      </c>
      <c r="C188" t="s">
        <v>4388</v>
      </c>
      <c r="D188" t="s">
        <v>4401</v>
      </c>
      <c r="E188" t="s">
        <v>4402</v>
      </c>
      <c r="F188" t="s">
        <v>4083</v>
      </c>
      <c r="G188" t="s">
        <v>4403</v>
      </c>
    </row>
    <row r="189" spans="1:7" ht="11.25" customHeight="1">
      <c r="A189" t="s">
        <v>16</v>
      </c>
      <c r="B189" t="s">
        <v>4387</v>
      </c>
      <c r="C189" t="s">
        <v>4388</v>
      </c>
      <c r="D189" t="s">
        <v>4404</v>
      </c>
      <c r="E189" t="s">
        <v>4405</v>
      </c>
      <c r="F189" t="s">
        <v>3917</v>
      </c>
      <c r="G189" t="s">
        <v>4406</v>
      </c>
    </row>
    <row r="190" spans="1:7" ht="11.25" customHeight="1">
      <c r="A190" t="s">
        <v>16</v>
      </c>
      <c r="B190" t="s">
        <v>4387</v>
      </c>
      <c r="C190" t="s">
        <v>4388</v>
      </c>
      <c r="D190" t="s">
        <v>4158</v>
      </c>
      <c r="E190" t="s">
        <v>4407</v>
      </c>
      <c r="F190" t="s">
        <v>3917</v>
      </c>
      <c r="G190" t="s">
        <v>4408</v>
      </c>
    </row>
    <row r="191" spans="1:7" ht="11.25" customHeight="1">
      <c r="A191" t="s">
        <v>16</v>
      </c>
      <c r="B191" t="s">
        <v>4387</v>
      </c>
      <c r="C191" t="s">
        <v>4388</v>
      </c>
      <c r="D191" t="s">
        <v>4409</v>
      </c>
      <c r="E191" t="s">
        <v>4410</v>
      </c>
      <c r="F191" t="s">
        <v>3917</v>
      </c>
      <c r="G191" t="s">
        <v>4411</v>
      </c>
    </row>
    <row r="192" spans="1:7" ht="11.25" customHeight="1">
      <c r="A192" t="s">
        <v>16</v>
      </c>
      <c r="B192" t="s">
        <v>4387</v>
      </c>
      <c r="C192" t="s">
        <v>4388</v>
      </c>
      <c r="D192" t="s">
        <v>4412</v>
      </c>
      <c r="E192" t="s">
        <v>4413</v>
      </c>
      <c r="F192" t="s">
        <v>3917</v>
      </c>
      <c r="G192" t="s">
        <v>4414</v>
      </c>
    </row>
    <row r="193" spans="1:7" ht="11.25" customHeight="1">
      <c r="A193" t="s">
        <v>16</v>
      </c>
      <c r="B193" t="s">
        <v>4387</v>
      </c>
      <c r="C193" t="s">
        <v>4388</v>
      </c>
      <c r="D193" t="s">
        <v>4415</v>
      </c>
      <c r="E193" t="s">
        <v>4416</v>
      </c>
      <c r="F193" t="s">
        <v>3917</v>
      </c>
      <c r="G193" t="s">
        <v>4417</v>
      </c>
    </row>
    <row r="194" spans="1:7" ht="11.25" customHeight="1">
      <c r="A194" t="s">
        <v>16</v>
      </c>
      <c r="B194" t="s">
        <v>4387</v>
      </c>
      <c r="C194" t="s">
        <v>4388</v>
      </c>
      <c r="D194" t="s">
        <v>4418</v>
      </c>
      <c r="E194" t="s">
        <v>4419</v>
      </c>
      <c r="F194" t="s">
        <v>3917</v>
      </c>
      <c r="G194" t="s">
        <v>4420</v>
      </c>
    </row>
    <row r="195" spans="1:7" ht="11.25" customHeight="1">
      <c r="A195" t="s">
        <v>16</v>
      </c>
      <c r="B195" t="s">
        <v>4387</v>
      </c>
      <c r="C195" t="s">
        <v>4388</v>
      </c>
      <c r="D195" t="s">
        <v>4421</v>
      </c>
      <c r="E195" t="s">
        <v>4422</v>
      </c>
      <c r="F195" t="s">
        <v>3917</v>
      </c>
      <c r="G195" t="s">
        <v>4423</v>
      </c>
    </row>
    <row r="196" spans="1:7" ht="11.25" customHeight="1">
      <c r="A196" t="s">
        <v>16</v>
      </c>
      <c r="B196" t="s">
        <v>4387</v>
      </c>
      <c r="C196" t="s">
        <v>4388</v>
      </c>
      <c r="D196" t="s">
        <v>4424</v>
      </c>
      <c r="E196" t="s">
        <v>4425</v>
      </c>
      <c r="F196" t="s">
        <v>3917</v>
      </c>
      <c r="G196" t="s">
        <v>4426</v>
      </c>
    </row>
    <row r="197" spans="1:7" ht="11.25" customHeight="1">
      <c r="A197" t="s">
        <v>16</v>
      </c>
      <c r="B197" t="s">
        <v>4387</v>
      </c>
      <c r="C197" t="s">
        <v>4388</v>
      </c>
      <c r="D197" t="s">
        <v>4427</v>
      </c>
      <c r="E197" t="s">
        <v>4428</v>
      </c>
      <c r="F197" t="s">
        <v>3917</v>
      </c>
      <c r="G197" t="s">
        <v>4429</v>
      </c>
    </row>
    <row r="198" spans="1:7" ht="11.25" customHeight="1">
      <c r="A198" t="s">
        <v>16</v>
      </c>
      <c r="B198" t="s">
        <v>4387</v>
      </c>
      <c r="C198" t="s">
        <v>4388</v>
      </c>
      <c r="D198" t="s">
        <v>4430</v>
      </c>
      <c r="E198" t="s">
        <v>4431</v>
      </c>
      <c r="F198" t="s">
        <v>3917</v>
      </c>
      <c r="G198" t="s">
        <v>4432</v>
      </c>
    </row>
    <row r="199" spans="1:7" ht="11.25" customHeight="1">
      <c r="A199" t="s">
        <v>16</v>
      </c>
      <c r="B199" t="s">
        <v>4387</v>
      </c>
      <c r="C199" t="s">
        <v>4388</v>
      </c>
      <c r="D199" t="s">
        <v>4433</v>
      </c>
      <c r="E199" t="s">
        <v>4434</v>
      </c>
      <c r="F199" t="s">
        <v>3917</v>
      </c>
      <c r="G199" t="s">
        <v>4435</v>
      </c>
    </row>
    <row r="200" spans="1:7" ht="11.25" customHeight="1">
      <c r="A200" t="s">
        <v>16</v>
      </c>
      <c r="B200" t="s">
        <v>4436</v>
      </c>
      <c r="C200" t="s">
        <v>4437</v>
      </c>
      <c r="D200" t="s">
        <v>4438</v>
      </c>
      <c r="E200" t="s">
        <v>4439</v>
      </c>
      <c r="F200" t="s">
        <v>3917</v>
      </c>
      <c r="G200" t="s">
        <v>4440</v>
      </c>
    </row>
    <row r="201" spans="1:7" ht="11.25" customHeight="1">
      <c r="A201" t="s">
        <v>16</v>
      </c>
      <c r="B201" t="s">
        <v>4436</v>
      </c>
      <c r="C201" t="s">
        <v>4437</v>
      </c>
      <c r="D201" t="s">
        <v>4441</v>
      </c>
      <c r="E201" t="s">
        <v>4442</v>
      </c>
      <c r="F201" t="s">
        <v>3917</v>
      </c>
      <c r="G201" t="s">
        <v>4443</v>
      </c>
    </row>
    <row r="202" spans="1:7" ht="11.25" customHeight="1">
      <c r="A202" t="s">
        <v>16</v>
      </c>
      <c r="B202" t="s">
        <v>4436</v>
      </c>
      <c r="C202" t="s">
        <v>4437</v>
      </c>
      <c r="D202" t="s">
        <v>4436</v>
      </c>
      <c r="E202" t="s">
        <v>4437</v>
      </c>
      <c r="F202" t="s">
        <v>3914</v>
      </c>
      <c r="G202" t="s">
        <v>4444</v>
      </c>
    </row>
    <row r="203" spans="1:7" ht="11.25" customHeight="1">
      <c r="A203" t="s">
        <v>16</v>
      </c>
      <c r="B203" t="s">
        <v>4436</v>
      </c>
      <c r="C203" t="s">
        <v>4437</v>
      </c>
      <c r="D203" t="s">
        <v>4445</v>
      </c>
      <c r="E203" t="s">
        <v>4446</v>
      </c>
      <c r="F203" t="s">
        <v>3917</v>
      </c>
      <c r="G203" t="s">
        <v>4447</v>
      </c>
    </row>
    <row r="204" spans="1:7" ht="11.25" customHeight="1">
      <c r="A204" t="s">
        <v>16</v>
      </c>
      <c r="B204" t="s">
        <v>4436</v>
      </c>
      <c r="C204" t="s">
        <v>4437</v>
      </c>
      <c r="D204" t="s">
        <v>4448</v>
      </c>
      <c r="E204" t="s">
        <v>4449</v>
      </c>
      <c r="F204" t="s">
        <v>3917</v>
      </c>
      <c r="G204" t="s">
        <v>4450</v>
      </c>
    </row>
    <row r="205" spans="1:7" ht="11.25" customHeight="1">
      <c r="A205" t="s">
        <v>16</v>
      </c>
      <c r="B205" t="s">
        <v>4436</v>
      </c>
      <c r="C205" t="s">
        <v>4437</v>
      </c>
      <c r="D205" t="s">
        <v>4451</v>
      </c>
      <c r="E205" t="s">
        <v>4452</v>
      </c>
      <c r="F205" t="s">
        <v>3917</v>
      </c>
      <c r="G205" t="s">
        <v>4453</v>
      </c>
    </row>
    <row r="206" spans="1:7" ht="11.25" customHeight="1">
      <c r="A206" t="s">
        <v>16</v>
      </c>
      <c r="B206" t="s">
        <v>4436</v>
      </c>
      <c r="C206" t="s">
        <v>4437</v>
      </c>
      <c r="D206" t="s">
        <v>4454</v>
      </c>
      <c r="E206" t="s">
        <v>4455</v>
      </c>
      <c r="F206" t="s">
        <v>3917</v>
      </c>
      <c r="G206" t="s">
        <v>4456</v>
      </c>
    </row>
    <row r="207" spans="1:7" ht="11.25" customHeight="1">
      <c r="A207" t="s">
        <v>16</v>
      </c>
      <c r="B207" t="s">
        <v>4436</v>
      </c>
      <c r="C207" t="s">
        <v>4437</v>
      </c>
      <c r="D207" t="s">
        <v>4457</v>
      </c>
      <c r="E207" t="s">
        <v>4458</v>
      </c>
      <c r="F207" t="s">
        <v>3917</v>
      </c>
      <c r="G207" t="s">
        <v>4459</v>
      </c>
    </row>
    <row r="208" spans="1:7" ht="11.25" customHeight="1">
      <c r="A208" t="s">
        <v>16</v>
      </c>
      <c r="B208" t="s">
        <v>4436</v>
      </c>
      <c r="C208" t="s">
        <v>4437</v>
      </c>
      <c r="D208" t="s">
        <v>4460</v>
      </c>
      <c r="E208" t="s">
        <v>4461</v>
      </c>
      <c r="F208" t="s">
        <v>3917</v>
      </c>
      <c r="G208" t="s">
        <v>4462</v>
      </c>
    </row>
    <row r="209" spans="1:7" ht="11.25" customHeight="1">
      <c r="A209" t="s">
        <v>16</v>
      </c>
      <c r="B209" t="s">
        <v>4436</v>
      </c>
      <c r="C209" t="s">
        <v>4437</v>
      </c>
      <c r="D209" t="s">
        <v>4463</v>
      </c>
      <c r="E209" t="s">
        <v>4464</v>
      </c>
      <c r="F209" t="s">
        <v>4083</v>
      </c>
      <c r="G209" t="s">
        <v>4465</v>
      </c>
    </row>
    <row r="210" spans="1:7" ht="11.25" customHeight="1">
      <c r="A210" t="s">
        <v>16</v>
      </c>
      <c r="B210" t="s">
        <v>4466</v>
      </c>
      <c r="C210" t="s">
        <v>4467</v>
      </c>
      <c r="D210" t="s">
        <v>4271</v>
      </c>
      <c r="E210" t="s">
        <v>4468</v>
      </c>
      <c r="F210" t="s">
        <v>3917</v>
      </c>
      <c r="G210" t="s">
        <v>4469</v>
      </c>
    </row>
    <row r="211" spans="1:7" ht="11.25" customHeight="1">
      <c r="A211" t="s">
        <v>16</v>
      </c>
      <c r="B211" t="s">
        <v>4466</v>
      </c>
      <c r="C211" t="s">
        <v>4467</v>
      </c>
      <c r="D211" t="s">
        <v>4470</v>
      </c>
      <c r="E211" t="s">
        <v>4471</v>
      </c>
      <c r="F211" t="s">
        <v>3917</v>
      </c>
      <c r="G211" t="s">
        <v>4472</v>
      </c>
    </row>
    <row r="212" spans="1:7" ht="11.25" customHeight="1">
      <c r="A212" t="s">
        <v>16</v>
      </c>
      <c r="B212" t="s">
        <v>4466</v>
      </c>
      <c r="C212" t="s">
        <v>4467</v>
      </c>
      <c r="D212" t="s">
        <v>4473</v>
      </c>
      <c r="E212" t="s">
        <v>4474</v>
      </c>
      <c r="F212" t="s">
        <v>3917</v>
      </c>
      <c r="G212" t="s">
        <v>4475</v>
      </c>
    </row>
    <row r="213" spans="1:7" ht="11.25" customHeight="1">
      <c r="A213" t="s">
        <v>16</v>
      </c>
      <c r="B213" t="s">
        <v>4466</v>
      </c>
      <c r="C213" t="s">
        <v>4467</v>
      </c>
      <c r="D213" t="s">
        <v>4476</v>
      </c>
      <c r="E213" t="s">
        <v>4477</v>
      </c>
      <c r="F213" t="s">
        <v>3917</v>
      </c>
      <c r="G213" t="s">
        <v>4478</v>
      </c>
    </row>
    <row r="214" spans="1:7" ht="11.25" customHeight="1">
      <c r="A214" t="s">
        <v>16</v>
      </c>
      <c r="B214" t="s">
        <v>4466</v>
      </c>
      <c r="C214" t="s">
        <v>4467</v>
      </c>
      <c r="D214" t="s">
        <v>4466</v>
      </c>
      <c r="E214" t="s">
        <v>4467</v>
      </c>
      <c r="F214" t="s">
        <v>3914</v>
      </c>
      <c r="G214" t="s">
        <v>4479</v>
      </c>
    </row>
    <row r="215" spans="1:7" ht="11.25" customHeight="1">
      <c r="A215" t="s">
        <v>16</v>
      </c>
      <c r="B215" t="s">
        <v>4466</v>
      </c>
      <c r="C215" t="s">
        <v>4467</v>
      </c>
      <c r="D215" t="s">
        <v>4480</v>
      </c>
      <c r="E215" t="s">
        <v>4481</v>
      </c>
      <c r="F215" t="s">
        <v>3917</v>
      </c>
      <c r="G215" t="s">
        <v>4482</v>
      </c>
    </row>
    <row r="216" spans="1:7" ht="11.25" customHeight="1">
      <c r="A216" t="s">
        <v>16</v>
      </c>
      <c r="B216" t="s">
        <v>4466</v>
      </c>
      <c r="C216" t="s">
        <v>4467</v>
      </c>
      <c r="D216" t="s">
        <v>4483</v>
      </c>
      <c r="E216" t="s">
        <v>4484</v>
      </c>
      <c r="F216" t="s">
        <v>3917</v>
      </c>
      <c r="G216" t="s">
        <v>4485</v>
      </c>
    </row>
    <row r="217" spans="1:7" ht="11.25" customHeight="1">
      <c r="A217" t="s">
        <v>16</v>
      </c>
      <c r="B217" t="s">
        <v>4466</v>
      </c>
      <c r="C217" t="s">
        <v>4467</v>
      </c>
      <c r="D217" t="s">
        <v>4486</v>
      </c>
      <c r="E217" t="s">
        <v>4487</v>
      </c>
      <c r="F217" t="s">
        <v>3917</v>
      </c>
      <c r="G217" t="s">
        <v>4488</v>
      </c>
    </row>
    <row r="218" spans="1:7" ht="11.25" customHeight="1">
      <c r="A218" t="s">
        <v>16</v>
      </c>
      <c r="B218" t="s">
        <v>4466</v>
      </c>
      <c r="C218" t="s">
        <v>4467</v>
      </c>
      <c r="D218" t="s">
        <v>4489</v>
      </c>
      <c r="E218" t="s">
        <v>4490</v>
      </c>
      <c r="F218" t="s">
        <v>3917</v>
      </c>
      <c r="G218" t="s">
        <v>4491</v>
      </c>
    </row>
    <row r="219" spans="1:7" ht="11.25" customHeight="1">
      <c r="A219" t="s">
        <v>16</v>
      </c>
      <c r="B219" t="s">
        <v>4466</v>
      </c>
      <c r="C219" t="s">
        <v>4467</v>
      </c>
      <c r="D219" t="s">
        <v>4492</v>
      </c>
      <c r="E219" t="s">
        <v>4493</v>
      </c>
      <c r="F219" t="s">
        <v>3917</v>
      </c>
      <c r="G219" t="s">
        <v>4494</v>
      </c>
    </row>
    <row r="220" spans="1:7" ht="11.25" customHeight="1">
      <c r="A220" t="s">
        <v>16</v>
      </c>
      <c r="B220" t="s">
        <v>4495</v>
      </c>
      <c r="C220" t="s">
        <v>4496</v>
      </c>
      <c r="D220" t="s">
        <v>4497</v>
      </c>
      <c r="E220" t="s">
        <v>4498</v>
      </c>
      <c r="F220" t="s">
        <v>3917</v>
      </c>
      <c r="G220" t="s">
        <v>4499</v>
      </c>
    </row>
    <row r="221" spans="1:7" ht="11.25" customHeight="1">
      <c r="A221" t="s">
        <v>16</v>
      </c>
      <c r="B221" t="s">
        <v>4495</v>
      </c>
      <c r="C221" t="s">
        <v>4496</v>
      </c>
      <c r="D221" t="s">
        <v>4500</v>
      </c>
      <c r="E221" t="s">
        <v>4501</v>
      </c>
      <c r="F221" t="s">
        <v>3917</v>
      </c>
      <c r="G221" t="s">
        <v>4502</v>
      </c>
    </row>
    <row r="222" spans="1:7" ht="11.25" customHeight="1">
      <c r="A222" t="s">
        <v>16</v>
      </c>
      <c r="B222" t="s">
        <v>4495</v>
      </c>
      <c r="C222" t="s">
        <v>4496</v>
      </c>
      <c r="D222" t="s">
        <v>4503</v>
      </c>
      <c r="E222" t="s">
        <v>4504</v>
      </c>
      <c r="F222" t="s">
        <v>3917</v>
      </c>
      <c r="G222" t="s">
        <v>4505</v>
      </c>
    </row>
    <row r="223" spans="1:7" ht="11.25" customHeight="1">
      <c r="A223" t="s">
        <v>16</v>
      </c>
      <c r="B223" t="s">
        <v>4495</v>
      </c>
      <c r="C223" t="s">
        <v>4496</v>
      </c>
      <c r="D223" t="s">
        <v>4506</v>
      </c>
      <c r="E223" t="s">
        <v>4507</v>
      </c>
      <c r="F223" t="s">
        <v>3917</v>
      </c>
      <c r="G223" t="s">
        <v>4508</v>
      </c>
    </row>
    <row r="224" spans="1:7" ht="11.25" customHeight="1">
      <c r="A224" t="s">
        <v>16</v>
      </c>
      <c r="B224" t="s">
        <v>4495</v>
      </c>
      <c r="C224" t="s">
        <v>4496</v>
      </c>
      <c r="D224" t="s">
        <v>4509</v>
      </c>
      <c r="E224" t="s">
        <v>4510</v>
      </c>
      <c r="F224" t="s">
        <v>3917</v>
      </c>
      <c r="G224" t="s">
        <v>4511</v>
      </c>
    </row>
    <row r="225" spans="1:7" ht="11.25" customHeight="1">
      <c r="A225" t="s">
        <v>16</v>
      </c>
      <c r="B225" t="s">
        <v>4495</v>
      </c>
      <c r="C225" t="s">
        <v>4496</v>
      </c>
      <c r="D225" t="s">
        <v>4512</v>
      </c>
      <c r="E225" t="s">
        <v>4513</v>
      </c>
      <c r="F225" t="s">
        <v>3917</v>
      </c>
      <c r="G225" t="s">
        <v>4514</v>
      </c>
    </row>
    <row r="226" spans="1:7" ht="11.25" customHeight="1">
      <c r="A226" t="s">
        <v>16</v>
      </c>
      <c r="B226" t="s">
        <v>4495</v>
      </c>
      <c r="C226" t="s">
        <v>4496</v>
      </c>
      <c r="D226" t="s">
        <v>4495</v>
      </c>
      <c r="E226" t="s">
        <v>4496</v>
      </c>
      <c r="F226" t="s">
        <v>3914</v>
      </c>
      <c r="G226" t="s">
        <v>4515</v>
      </c>
    </row>
    <row r="227" spans="1:7" ht="11.25" customHeight="1">
      <c r="A227" t="s">
        <v>16</v>
      </c>
      <c r="B227" t="s">
        <v>4495</v>
      </c>
      <c r="C227" t="s">
        <v>4496</v>
      </c>
      <c r="D227" t="s">
        <v>4516</v>
      </c>
      <c r="E227" t="s">
        <v>4517</v>
      </c>
      <c r="F227" t="s">
        <v>3917</v>
      </c>
      <c r="G227" t="s">
        <v>4518</v>
      </c>
    </row>
    <row r="228" spans="1:7" ht="11.25" customHeight="1">
      <c r="A228" t="s">
        <v>16</v>
      </c>
      <c r="B228" t="s">
        <v>4495</v>
      </c>
      <c r="C228" t="s">
        <v>4496</v>
      </c>
      <c r="D228" t="s">
        <v>4519</v>
      </c>
      <c r="E228" t="s">
        <v>4520</v>
      </c>
      <c r="F228" t="s">
        <v>3917</v>
      </c>
      <c r="G228" t="s">
        <v>4521</v>
      </c>
    </row>
    <row r="229" spans="1:7" ht="11.25" customHeight="1">
      <c r="A229" t="s">
        <v>16</v>
      </c>
      <c r="B229" t="s">
        <v>4495</v>
      </c>
      <c r="C229" t="s">
        <v>4496</v>
      </c>
      <c r="D229" t="s">
        <v>4522</v>
      </c>
      <c r="E229" t="s">
        <v>4523</v>
      </c>
      <c r="F229" t="s">
        <v>3917</v>
      </c>
      <c r="G229" t="s">
        <v>4524</v>
      </c>
    </row>
    <row r="230" spans="1:7" ht="11.25" customHeight="1">
      <c r="A230" t="s">
        <v>16</v>
      </c>
      <c r="B230" t="s">
        <v>4495</v>
      </c>
      <c r="C230" t="s">
        <v>4496</v>
      </c>
      <c r="D230" t="s">
        <v>4525</v>
      </c>
      <c r="E230" t="s">
        <v>4526</v>
      </c>
      <c r="F230" t="s">
        <v>3917</v>
      </c>
      <c r="G230" t="s">
        <v>4527</v>
      </c>
    </row>
    <row r="231" spans="1:7" ht="11.25" customHeight="1">
      <c r="A231" t="s">
        <v>16</v>
      </c>
      <c r="B231" t="s">
        <v>4495</v>
      </c>
      <c r="C231" t="s">
        <v>4496</v>
      </c>
      <c r="D231" t="s">
        <v>4528</v>
      </c>
      <c r="E231" t="s">
        <v>4529</v>
      </c>
      <c r="F231" t="s">
        <v>3917</v>
      </c>
      <c r="G231" t="s">
        <v>4530</v>
      </c>
    </row>
    <row r="232" spans="1:7" ht="11.25" customHeight="1">
      <c r="A232" t="s">
        <v>16</v>
      </c>
      <c r="B232" t="s">
        <v>4495</v>
      </c>
      <c r="C232" t="s">
        <v>4496</v>
      </c>
      <c r="D232" t="s">
        <v>4531</v>
      </c>
      <c r="E232" t="s">
        <v>4532</v>
      </c>
      <c r="F232" t="s">
        <v>3917</v>
      </c>
      <c r="G232" t="s">
        <v>4533</v>
      </c>
    </row>
    <row r="233" spans="1:7" ht="11.25" customHeight="1">
      <c r="A233" t="s">
        <v>16</v>
      </c>
      <c r="B233" t="s">
        <v>4495</v>
      </c>
      <c r="C233" t="s">
        <v>4496</v>
      </c>
      <c r="D233" t="s">
        <v>4534</v>
      </c>
      <c r="E233" t="s">
        <v>4535</v>
      </c>
      <c r="F233" t="s">
        <v>4083</v>
      </c>
      <c r="G233" t="s">
        <v>4536</v>
      </c>
    </row>
    <row r="234" spans="1:7" ht="11.25" customHeight="1">
      <c r="A234" t="s">
        <v>16</v>
      </c>
      <c r="B234" t="s">
        <v>4537</v>
      </c>
      <c r="C234" t="s">
        <v>4538</v>
      </c>
      <c r="D234" t="s">
        <v>4539</v>
      </c>
      <c r="E234" t="s">
        <v>4540</v>
      </c>
      <c r="F234" t="s">
        <v>3917</v>
      </c>
      <c r="G234" t="s">
        <v>4541</v>
      </c>
    </row>
    <row r="235" spans="1:7" ht="11.25" customHeight="1">
      <c r="A235" t="s">
        <v>16</v>
      </c>
      <c r="B235" t="s">
        <v>4537</v>
      </c>
      <c r="C235" t="s">
        <v>4538</v>
      </c>
      <c r="D235" t="s">
        <v>4542</v>
      </c>
      <c r="E235" t="s">
        <v>4543</v>
      </c>
      <c r="F235" t="s">
        <v>3917</v>
      </c>
      <c r="G235" t="s">
        <v>4544</v>
      </c>
    </row>
    <row r="236" spans="1:7" ht="11.25" customHeight="1">
      <c r="A236" t="s">
        <v>16</v>
      </c>
      <c r="B236" t="s">
        <v>4537</v>
      </c>
      <c r="C236" t="s">
        <v>4538</v>
      </c>
      <c r="D236" t="s">
        <v>4545</v>
      </c>
      <c r="E236" t="s">
        <v>4546</v>
      </c>
      <c r="F236" t="s">
        <v>3917</v>
      </c>
      <c r="G236" t="s">
        <v>4547</v>
      </c>
    </row>
    <row r="237" spans="1:7" ht="11.25" customHeight="1">
      <c r="A237" t="s">
        <v>16</v>
      </c>
      <c r="B237" t="s">
        <v>4537</v>
      </c>
      <c r="C237" t="s">
        <v>4538</v>
      </c>
      <c r="D237" t="s">
        <v>4548</v>
      </c>
      <c r="E237" t="s">
        <v>4549</v>
      </c>
      <c r="F237" t="s">
        <v>3917</v>
      </c>
      <c r="G237" t="s">
        <v>4550</v>
      </c>
    </row>
    <row r="238" spans="1:7" ht="11.25" customHeight="1">
      <c r="A238" t="s">
        <v>16</v>
      </c>
      <c r="B238" t="s">
        <v>4537</v>
      </c>
      <c r="C238" t="s">
        <v>4538</v>
      </c>
      <c r="D238" t="s">
        <v>4551</v>
      </c>
      <c r="E238" t="s">
        <v>4552</v>
      </c>
      <c r="F238" t="s">
        <v>3917</v>
      </c>
      <c r="G238" t="s">
        <v>4553</v>
      </c>
    </row>
    <row r="239" spans="1:7" ht="11.25" customHeight="1">
      <c r="A239" t="s">
        <v>16</v>
      </c>
      <c r="B239" t="s">
        <v>4537</v>
      </c>
      <c r="C239" t="s">
        <v>4538</v>
      </c>
      <c r="D239" t="s">
        <v>4554</v>
      </c>
      <c r="E239" t="s">
        <v>4555</v>
      </c>
      <c r="F239" t="s">
        <v>3917</v>
      </c>
      <c r="G239" t="s">
        <v>4556</v>
      </c>
    </row>
    <row r="240" spans="1:7" ht="11.25" customHeight="1">
      <c r="A240" t="s">
        <v>16</v>
      </c>
      <c r="B240" t="s">
        <v>4537</v>
      </c>
      <c r="C240" t="s">
        <v>4538</v>
      </c>
      <c r="D240" t="s">
        <v>4537</v>
      </c>
      <c r="E240" t="s">
        <v>4538</v>
      </c>
      <c r="F240" t="s">
        <v>3914</v>
      </c>
      <c r="G240" t="s">
        <v>4557</v>
      </c>
    </row>
    <row r="241" spans="1:7" ht="11.25" customHeight="1">
      <c r="A241" t="s">
        <v>16</v>
      </c>
      <c r="B241" t="s">
        <v>4537</v>
      </c>
      <c r="C241" t="s">
        <v>4538</v>
      </c>
      <c r="D241" t="s">
        <v>4558</v>
      </c>
      <c r="E241" t="s">
        <v>4559</v>
      </c>
      <c r="F241" t="s">
        <v>3917</v>
      </c>
      <c r="G241" t="s">
        <v>4560</v>
      </c>
    </row>
    <row r="242" spans="1:7" ht="11.25" customHeight="1">
      <c r="A242" t="s">
        <v>16</v>
      </c>
      <c r="B242" t="s">
        <v>4537</v>
      </c>
      <c r="C242" t="s">
        <v>4538</v>
      </c>
      <c r="D242" t="s">
        <v>4561</v>
      </c>
      <c r="E242" t="s">
        <v>4562</v>
      </c>
      <c r="F242" t="s">
        <v>3917</v>
      </c>
      <c r="G242" t="s">
        <v>4563</v>
      </c>
    </row>
    <row r="243" spans="1:7" ht="11.25" customHeight="1">
      <c r="A243" t="s">
        <v>16</v>
      </c>
      <c r="B243" t="s">
        <v>4537</v>
      </c>
      <c r="C243" t="s">
        <v>4538</v>
      </c>
      <c r="D243" t="s">
        <v>4564</v>
      </c>
      <c r="E243" t="s">
        <v>4565</v>
      </c>
      <c r="F243" t="s">
        <v>3917</v>
      </c>
      <c r="G243" t="s">
        <v>4566</v>
      </c>
    </row>
    <row r="244" spans="1:7" ht="11.25" customHeight="1">
      <c r="A244" t="s">
        <v>16</v>
      </c>
      <c r="B244" t="s">
        <v>4537</v>
      </c>
      <c r="C244" t="s">
        <v>4538</v>
      </c>
      <c r="D244" t="s">
        <v>4567</v>
      </c>
      <c r="E244" t="s">
        <v>4568</v>
      </c>
      <c r="F244" t="s">
        <v>3917</v>
      </c>
      <c r="G244" t="s">
        <v>4569</v>
      </c>
    </row>
    <row r="245" spans="1:7" ht="11.25" customHeight="1">
      <c r="A245" t="s">
        <v>16</v>
      </c>
      <c r="B245" t="s">
        <v>4537</v>
      </c>
      <c r="C245" t="s">
        <v>4538</v>
      </c>
      <c r="D245" t="s">
        <v>4570</v>
      </c>
      <c r="E245" t="s">
        <v>4571</v>
      </c>
      <c r="F245" t="s">
        <v>3917</v>
      </c>
      <c r="G245" t="s">
        <v>4572</v>
      </c>
    </row>
    <row r="246" spans="1:7" ht="11.25" customHeight="1">
      <c r="A246" t="s">
        <v>16</v>
      </c>
      <c r="B246" t="s">
        <v>4537</v>
      </c>
      <c r="C246" t="s">
        <v>4538</v>
      </c>
      <c r="D246" t="s">
        <v>4573</v>
      </c>
      <c r="E246" t="s">
        <v>4574</v>
      </c>
      <c r="F246" t="s">
        <v>3917</v>
      </c>
      <c r="G246" t="s">
        <v>4575</v>
      </c>
    </row>
    <row r="247" spans="1:7" ht="11.25" customHeight="1">
      <c r="A247" t="s">
        <v>16</v>
      </c>
      <c r="B247" t="s">
        <v>4537</v>
      </c>
      <c r="C247" t="s">
        <v>4538</v>
      </c>
      <c r="D247" t="s">
        <v>4576</v>
      </c>
      <c r="E247" t="s">
        <v>4577</v>
      </c>
      <c r="F247" t="s">
        <v>3917</v>
      </c>
      <c r="G247" t="s">
        <v>4578</v>
      </c>
    </row>
    <row r="248" spans="1:7" ht="11.25" customHeight="1">
      <c r="A248" t="s">
        <v>16</v>
      </c>
      <c r="B248" t="s">
        <v>4579</v>
      </c>
      <c r="C248" t="s">
        <v>4580</v>
      </c>
      <c r="D248" t="s">
        <v>4581</v>
      </c>
      <c r="E248" t="s">
        <v>4582</v>
      </c>
      <c r="F248" t="s">
        <v>3917</v>
      </c>
      <c r="G248" t="s">
        <v>4583</v>
      </c>
    </row>
    <row r="249" spans="1:7" ht="11.25" customHeight="1">
      <c r="A249" t="s">
        <v>16</v>
      </c>
      <c r="B249" t="s">
        <v>4579</v>
      </c>
      <c r="C249" t="s">
        <v>4580</v>
      </c>
      <c r="D249" t="s">
        <v>4584</v>
      </c>
      <c r="E249" t="s">
        <v>4585</v>
      </c>
      <c r="F249" t="s">
        <v>3917</v>
      </c>
      <c r="G249" t="s">
        <v>4586</v>
      </c>
    </row>
    <row r="250" spans="1:7" ht="11.25" customHeight="1">
      <c r="A250" t="s">
        <v>16</v>
      </c>
      <c r="B250" t="s">
        <v>4579</v>
      </c>
      <c r="C250" t="s">
        <v>4580</v>
      </c>
      <c r="D250" t="s">
        <v>4503</v>
      </c>
      <c r="E250" t="s">
        <v>4587</v>
      </c>
      <c r="F250" t="s">
        <v>3917</v>
      </c>
      <c r="G250" t="s">
        <v>4588</v>
      </c>
    </row>
    <row r="251" spans="1:7" ht="11.25" customHeight="1">
      <c r="A251" t="s">
        <v>16</v>
      </c>
      <c r="B251" t="s">
        <v>4579</v>
      </c>
      <c r="C251" t="s">
        <v>4580</v>
      </c>
      <c r="D251" t="s">
        <v>4589</v>
      </c>
      <c r="E251" t="s">
        <v>4590</v>
      </c>
      <c r="F251" t="s">
        <v>3917</v>
      </c>
      <c r="G251" t="s">
        <v>4591</v>
      </c>
    </row>
    <row r="252" spans="1:7" ht="11.25" customHeight="1">
      <c r="A252" t="s">
        <v>16</v>
      </c>
      <c r="B252" t="s">
        <v>4579</v>
      </c>
      <c r="C252" t="s">
        <v>4580</v>
      </c>
      <c r="D252" t="s">
        <v>4592</v>
      </c>
      <c r="E252" t="s">
        <v>4593</v>
      </c>
      <c r="F252" t="s">
        <v>3917</v>
      </c>
      <c r="G252" t="s">
        <v>4594</v>
      </c>
    </row>
    <row r="253" spans="1:7" ht="11.25" customHeight="1">
      <c r="A253" t="s">
        <v>16</v>
      </c>
      <c r="B253" t="s">
        <v>4579</v>
      </c>
      <c r="C253" t="s">
        <v>4580</v>
      </c>
      <c r="D253" t="s">
        <v>4579</v>
      </c>
      <c r="E253" t="s">
        <v>4580</v>
      </c>
      <c r="F253" t="s">
        <v>3914</v>
      </c>
      <c r="G253" t="s">
        <v>4595</v>
      </c>
    </row>
    <row r="254" spans="1:7" ht="11.25" customHeight="1">
      <c r="A254" t="s">
        <v>16</v>
      </c>
      <c r="B254" t="s">
        <v>4579</v>
      </c>
      <c r="C254" t="s">
        <v>4580</v>
      </c>
      <c r="D254" t="s">
        <v>4596</v>
      </c>
      <c r="E254" t="s">
        <v>4597</v>
      </c>
      <c r="F254" t="s">
        <v>3917</v>
      </c>
      <c r="G254" t="s">
        <v>4598</v>
      </c>
    </row>
    <row r="255" spans="1:7" ht="11.25" customHeight="1">
      <c r="A255" t="s">
        <v>16</v>
      </c>
      <c r="B255" t="s">
        <v>4579</v>
      </c>
      <c r="C255" t="s">
        <v>4580</v>
      </c>
      <c r="D255" t="s">
        <v>4599</v>
      </c>
      <c r="E255" t="s">
        <v>4600</v>
      </c>
      <c r="F255" t="s">
        <v>3917</v>
      </c>
      <c r="G255" t="s">
        <v>4601</v>
      </c>
    </row>
    <row r="256" spans="1:7" ht="11.25" customHeight="1">
      <c r="A256" t="s">
        <v>16</v>
      </c>
      <c r="B256" t="s">
        <v>4579</v>
      </c>
      <c r="C256" t="s">
        <v>4580</v>
      </c>
      <c r="D256" t="s">
        <v>4602</v>
      </c>
      <c r="E256" t="s">
        <v>4603</v>
      </c>
      <c r="F256" t="s">
        <v>3917</v>
      </c>
      <c r="G256" t="s">
        <v>4604</v>
      </c>
    </row>
    <row r="257" spans="1:7" ht="11.25" customHeight="1">
      <c r="A257" t="s">
        <v>16</v>
      </c>
      <c r="B257" t="s">
        <v>4579</v>
      </c>
      <c r="C257" t="s">
        <v>4580</v>
      </c>
      <c r="D257" t="s">
        <v>4605</v>
      </c>
      <c r="E257" t="s">
        <v>4606</v>
      </c>
      <c r="F257" t="s">
        <v>3917</v>
      </c>
      <c r="G257" t="s">
        <v>4607</v>
      </c>
    </row>
    <row r="258" spans="1:7" ht="11.25" customHeight="1">
      <c r="A258" t="s">
        <v>16</v>
      </c>
      <c r="B258" t="s">
        <v>4579</v>
      </c>
      <c r="C258" t="s">
        <v>4580</v>
      </c>
      <c r="D258" t="s">
        <v>4608</v>
      </c>
      <c r="E258" t="s">
        <v>4609</v>
      </c>
      <c r="F258" t="s">
        <v>3917</v>
      </c>
      <c r="G258" t="s">
        <v>4610</v>
      </c>
    </row>
    <row r="259" spans="1:7" ht="11.25" customHeight="1">
      <c r="A259" t="s">
        <v>16</v>
      </c>
      <c r="B259" t="s">
        <v>4579</v>
      </c>
      <c r="C259" t="s">
        <v>4580</v>
      </c>
      <c r="D259" t="s">
        <v>4528</v>
      </c>
      <c r="E259" t="s">
        <v>4611</v>
      </c>
      <c r="F259" t="s">
        <v>3917</v>
      </c>
      <c r="G259" t="s">
        <v>4612</v>
      </c>
    </row>
    <row r="260" spans="1:7" ht="11.25" customHeight="1">
      <c r="A260" t="s">
        <v>16</v>
      </c>
      <c r="B260" t="s">
        <v>4579</v>
      </c>
      <c r="C260" t="s">
        <v>4580</v>
      </c>
      <c r="D260" t="s">
        <v>4613</v>
      </c>
      <c r="E260" t="s">
        <v>4614</v>
      </c>
      <c r="F260" t="s">
        <v>4083</v>
      </c>
      <c r="G260" t="s">
        <v>4615</v>
      </c>
    </row>
    <row r="261" spans="1:7" ht="11.25" customHeight="1">
      <c r="A261" t="s">
        <v>16</v>
      </c>
      <c r="B261" t="s">
        <v>4616</v>
      </c>
      <c r="C261" t="s">
        <v>4617</v>
      </c>
      <c r="D261" t="s">
        <v>4618</v>
      </c>
      <c r="E261" t="s">
        <v>4619</v>
      </c>
      <c r="F261" t="s">
        <v>3917</v>
      </c>
      <c r="G261" t="s">
        <v>4620</v>
      </c>
    </row>
    <row r="262" spans="1:7" ht="11.25" customHeight="1">
      <c r="A262" t="s">
        <v>16</v>
      </c>
      <c r="B262" t="s">
        <v>4616</v>
      </c>
      <c r="C262" t="s">
        <v>4617</v>
      </c>
      <c r="D262" t="s">
        <v>4021</v>
      </c>
      <c r="E262" t="s">
        <v>4621</v>
      </c>
      <c r="F262" t="s">
        <v>3917</v>
      </c>
      <c r="G262" t="s">
        <v>4622</v>
      </c>
    </row>
    <row r="263" spans="1:7" ht="11.25" customHeight="1">
      <c r="A263" t="s">
        <v>16</v>
      </c>
      <c r="B263" t="s">
        <v>4616</v>
      </c>
      <c r="C263" t="s">
        <v>4617</v>
      </c>
      <c r="D263" t="s">
        <v>4623</v>
      </c>
      <c r="E263" t="s">
        <v>4624</v>
      </c>
      <c r="F263" t="s">
        <v>3917</v>
      </c>
      <c r="G263" t="s">
        <v>4625</v>
      </c>
    </row>
    <row r="264" spans="1:7" ht="11.25" customHeight="1">
      <c r="A264" t="s">
        <v>16</v>
      </c>
      <c r="B264" t="s">
        <v>4616</v>
      </c>
      <c r="C264" t="s">
        <v>4617</v>
      </c>
      <c r="D264" t="s">
        <v>4626</v>
      </c>
      <c r="E264" t="s">
        <v>4627</v>
      </c>
      <c r="F264" t="s">
        <v>3917</v>
      </c>
      <c r="G264" t="s">
        <v>4628</v>
      </c>
    </row>
    <row r="265" spans="1:7" ht="11.25" customHeight="1">
      <c r="A265" t="s">
        <v>16</v>
      </c>
      <c r="B265" t="s">
        <v>4616</v>
      </c>
      <c r="C265" t="s">
        <v>4617</v>
      </c>
      <c r="D265" t="s">
        <v>4629</v>
      </c>
      <c r="E265" t="s">
        <v>4630</v>
      </c>
      <c r="F265" t="s">
        <v>3917</v>
      </c>
      <c r="G265" t="s">
        <v>4631</v>
      </c>
    </row>
    <row r="266" spans="1:7" ht="11.25" customHeight="1">
      <c r="A266" t="s">
        <v>16</v>
      </c>
      <c r="B266" t="s">
        <v>4616</v>
      </c>
      <c r="C266" t="s">
        <v>4617</v>
      </c>
      <c r="D266" t="s">
        <v>4632</v>
      </c>
      <c r="E266" t="s">
        <v>4633</v>
      </c>
      <c r="F266" t="s">
        <v>3917</v>
      </c>
      <c r="G266" t="s">
        <v>4634</v>
      </c>
    </row>
    <row r="267" spans="1:7" ht="11.25" customHeight="1">
      <c r="A267" t="s">
        <v>16</v>
      </c>
      <c r="B267" t="s">
        <v>4616</v>
      </c>
      <c r="C267" t="s">
        <v>4617</v>
      </c>
      <c r="D267" t="s">
        <v>4616</v>
      </c>
      <c r="E267" t="s">
        <v>4617</v>
      </c>
      <c r="F267" t="s">
        <v>3914</v>
      </c>
      <c r="G267" t="s">
        <v>4635</v>
      </c>
    </row>
    <row r="268" spans="1:7" ht="11.25" customHeight="1">
      <c r="A268" t="s">
        <v>16</v>
      </c>
      <c r="B268" t="s">
        <v>4616</v>
      </c>
      <c r="C268" t="s">
        <v>4617</v>
      </c>
      <c r="D268" t="s">
        <v>4636</v>
      </c>
      <c r="E268" t="s">
        <v>4637</v>
      </c>
      <c r="F268" t="s">
        <v>3917</v>
      </c>
      <c r="G268" t="s">
        <v>4638</v>
      </c>
    </row>
    <row r="269" spans="1:7" ht="11.25" customHeight="1">
      <c r="A269" t="s">
        <v>16</v>
      </c>
      <c r="B269" t="s">
        <v>4616</v>
      </c>
      <c r="C269" t="s">
        <v>4617</v>
      </c>
      <c r="D269" t="s">
        <v>4639</v>
      </c>
      <c r="E269" t="s">
        <v>4640</v>
      </c>
      <c r="F269" t="s">
        <v>3917</v>
      </c>
      <c r="G269" t="s">
        <v>4641</v>
      </c>
    </row>
    <row r="270" spans="1:7" ht="11.25" customHeight="1">
      <c r="A270" t="s">
        <v>16</v>
      </c>
      <c r="B270" t="s">
        <v>4616</v>
      </c>
      <c r="C270" t="s">
        <v>4617</v>
      </c>
      <c r="D270" t="s">
        <v>4642</v>
      </c>
      <c r="E270" t="s">
        <v>4643</v>
      </c>
      <c r="F270" t="s">
        <v>3917</v>
      </c>
      <c r="G270" t="s">
        <v>4644</v>
      </c>
    </row>
    <row r="271" spans="1:7" ht="11.25" customHeight="1">
      <c r="A271" t="s">
        <v>16</v>
      </c>
      <c r="B271" t="s">
        <v>4616</v>
      </c>
      <c r="C271" t="s">
        <v>4617</v>
      </c>
      <c r="D271" t="s">
        <v>4645</v>
      </c>
      <c r="E271" t="s">
        <v>4646</v>
      </c>
      <c r="F271" t="s">
        <v>3917</v>
      </c>
      <c r="G271" t="s">
        <v>4647</v>
      </c>
    </row>
    <row r="272" spans="1:7" ht="11.25" customHeight="1">
      <c r="A272" t="s">
        <v>16</v>
      </c>
      <c r="B272" t="s">
        <v>4616</v>
      </c>
      <c r="C272" t="s">
        <v>4617</v>
      </c>
      <c r="D272" t="s">
        <v>4135</v>
      </c>
      <c r="E272" t="s">
        <v>4648</v>
      </c>
      <c r="F272" t="s">
        <v>3917</v>
      </c>
      <c r="G272" t="s">
        <v>4649</v>
      </c>
    </row>
    <row r="273" spans="1:7" ht="11.25" customHeight="1">
      <c r="A273" t="s">
        <v>16</v>
      </c>
      <c r="B273" t="s">
        <v>4616</v>
      </c>
      <c r="C273" t="s">
        <v>4617</v>
      </c>
      <c r="D273" t="s">
        <v>4650</v>
      </c>
      <c r="E273" t="s">
        <v>4651</v>
      </c>
      <c r="F273" t="s">
        <v>3917</v>
      </c>
      <c r="G273" t="s">
        <v>4652</v>
      </c>
    </row>
    <row r="274" spans="1:7" ht="11.25" customHeight="1">
      <c r="A274" t="s">
        <v>16</v>
      </c>
      <c r="B274" t="s">
        <v>4616</v>
      </c>
      <c r="C274" t="s">
        <v>4617</v>
      </c>
      <c r="D274" t="s">
        <v>4653</v>
      </c>
      <c r="E274" t="s">
        <v>4654</v>
      </c>
      <c r="F274" t="s">
        <v>3917</v>
      </c>
      <c r="G274" t="s">
        <v>4655</v>
      </c>
    </row>
    <row r="275" spans="1:7" ht="11.25" customHeight="1">
      <c r="A275" t="s">
        <v>16</v>
      </c>
      <c r="B275" t="s">
        <v>4616</v>
      </c>
      <c r="C275" t="s">
        <v>4617</v>
      </c>
      <c r="D275" t="s">
        <v>4656</v>
      </c>
      <c r="E275" t="s">
        <v>4657</v>
      </c>
      <c r="F275" t="s">
        <v>4083</v>
      </c>
      <c r="G275" t="s">
        <v>4658</v>
      </c>
    </row>
    <row r="276" spans="1:7" ht="11.25" customHeight="1">
      <c r="A276" t="s">
        <v>16</v>
      </c>
      <c r="B276" t="s">
        <v>4659</v>
      </c>
      <c r="C276" t="s">
        <v>4660</v>
      </c>
      <c r="D276" t="s">
        <v>4661</v>
      </c>
      <c r="E276" t="s">
        <v>4662</v>
      </c>
      <c r="F276" t="s">
        <v>3917</v>
      </c>
      <c r="G276" t="s">
        <v>4663</v>
      </c>
    </row>
    <row r="277" spans="1:7" ht="11.25" customHeight="1">
      <c r="A277" t="s">
        <v>16</v>
      </c>
      <c r="B277" t="s">
        <v>4659</v>
      </c>
      <c r="C277" t="s">
        <v>4660</v>
      </c>
      <c r="D277" t="s">
        <v>4664</v>
      </c>
      <c r="E277" t="s">
        <v>4665</v>
      </c>
      <c r="F277" t="s">
        <v>3917</v>
      </c>
      <c r="G277" t="s">
        <v>4666</v>
      </c>
    </row>
    <row r="278" spans="1:7" ht="11.25" customHeight="1">
      <c r="A278" t="s">
        <v>16</v>
      </c>
      <c r="B278" t="s">
        <v>4659</v>
      </c>
      <c r="C278" t="s">
        <v>4660</v>
      </c>
      <c r="D278" t="s">
        <v>4667</v>
      </c>
      <c r="E278" t="s">
        <v>4668</v>
      </c>
      <c r="F278" t="s">
        <v>3917</v>
      </c>
      <c r="G278" t="s">
        <v>4669</v>
      </c>
    </row>
    <row r="279" spans="1:7" ht="11.25" customHeight="1">
      <c r="A279" t="s">
        <v>16</v>
      </c>
      <c r="B279" t="s">
        <v>4659</v>
      </c>
      <c r="C279" t="s">
        <v>4660</v>
      </c>
      <c r="D279" t="s">
        <v>4670</v>
      </c>
      <c r="E279" t="s">
        <v>4671</v>
      </c>
      <c r="F279" t="s">
        <v>3917</v>
      </c>
      <c r="G279" t="s">
        <v>4672</v>
      </c>
    </row>
    <row r="280" spans="1:7" ht="11.25" customHeight="1">
      <c r="A280" t="s">
        <v>16</v>
      </c>
      <c r="B280" t="s">
        <v>4659</v>
      </c>
      <c r="C280" t="s">
        <v>4660</v>
      </c>
      <c r="D280" t="s">
        <v>4673</v>
      </c>
      <c r="E280" t="s">
        <v>4674</v>
      </c>
      <c r="F280" t="s">
        <v>3917</v>
      </c>
      <c r="G280" t="s">
        <v>4675</v>
      </c>
    </row>
    <row r="281" spans="1:7" ht="11.25" customHeight="1">
      <c r="A281" t="s">
        <v>16</v>
      </c>
      <c r="B281" t="s">
        <v>4659</v>
      </c>
      <c r="C281" t="s">
        <v>4660</v>
      </c>
      <c r="D281" t="s">
        <v>4676</v>
      </c>
      <c r="E281" t="s">
        <v>4677</v>
      </c>
      <c r="F281" t="s">
        <v>3917</v>
      </c>
      <c r="G281" t="s">
        <v>4678</v>
      </c>
    </row>
    <row r="282" spans="1:7" ht="11.25" customHeight="1">
      <c r="A282" t="s">
        <v>16</v>
      </c>
      <c r="B282" t="s">
        <v>4659</v>
      </c>
      <c r="C282" t="s">
        <v>4660</v>
      </c>
      <c r="D282" t="s">
        <v>4679</v>
      </c>
      <c r="E282" t="s">
        <v>4680</v>
      </c>
      <c r="F282" t="s">
        <v>3917</v>
      </c>
      <c r="G282" t="s">
        <v>4681</v>
      </c>
    </row>
    <row r="283" spans="1:7" ht="11.25" customHeight="1">
      <c r="A283" t="s">
        <v>16</v>
      </c>
      <c r="B283" t="s">
        <v>4659</v>
      </c>
      <c r="C283" t="s">
        <v>4660</v>
      </c>
      <c r="D283" t="s">
        <v>4682</v>
      </c>
      <c r="E283" t="s">
        <v>4683</v>
      </c>
      <c r="F283" t="s">
        <v>3917</v>
      </c>
      <c r="G283" t="s">
        <v>4684</v>
      </c>
    </row>
    <row r="284" spans="1:7" ht="11.25" customHeight="1">
      <c r="A284" t="s">
        <v>16</v>
      </c>
      <c r="B284" t="s">
        <v>4659</v>
      </c>
      <c r="C284" t="s">
        <v>4660</v>
      </c>
      <c r="D284" t="s">
        <v>4659</v>
      </c>
      <c r="E284" t="s">
        <v>4660</v>
      </c>
      <c r="F284" t="s">
        <v>3914</v>
      </c>
      <c r="G284" t="s">
        <v>4685</v>
      </c>
    </row>
    <row r="285" spans="1:7" ht="11.25" customHeight="1">
      <c r="A285" t="s">
        <v>16</v>
      </c>
      <c r="B285" t="s">
        <v>4659</v>
      </c>
      <c r="C285" t="s">
        <v>4660</v>
      </c>
      <c r="D285" t="s">
        <v>4686</v>
      </c>
      <c r="E285" t="s">
        <v>4687</v>
      </c>
      <c r="F285" t="s">
        <v>3952</v>
      </c>
      <c r="G285" t="s">
        <v>4688</v>
      </c>
    </row>
    <row r="286" spans="1:7" ht="11.25" customHeight="1">
      <c r="A286" t="s">
        <v>16</v>
      </c>
      <c r="B286" t="s">
        <v>4659</v>
      </c>
      <c r="C286" t="s">
        <v>4660</v>
      </c>
      <c r="D286" t="s">
        <v>4689</v>
      </c>
      <c r="E286" t="s">
        <v>4690</v>
      </c>
      <c r="F286" t="s">
        <v>3917</v>
      </c>
      <c r="G286" t="s">
        <v>4691</v>
      </c>
    </row>
    <row r="287" spans="1:7" ht="11.25" customHeight="1">
      <c r="A287" t="s">
        <v>16</v>
      </c>
      <c r="B287" t="s">
        <v>4659</v>
      </c>
      <c r="C287" t="s">
        <v>4660</v>
      </c>
      <c r="D287" t="s">
        <v>4692</v>
      </c>
      <c r="E287" t="s">
        <v>4693</v>
      </c>
      <c r="F287" t="s">
        <v>3917</v>
      </c>
      <c r="G287" t="s">
        <v>4694</v>
      </c>
    </row>
    <row r="288" spans="1:7" ht="11.25" customHeight="1">
      <c r="A288" t="s">
        <v>16</v>
      </c>
      <c r="B288" t="s">
        <v>4695</v>
      </c>
      <c r="C288" t="s">
        <v>4696</v>
      </c>
      <c r="D288" t="s">
        <v>4697</v>
      </c>
      <c r="E288" t="s">
        <v>4698</v>
      </c>
      <c r="F288" t="s">
        <v>3917</v>
      </c>
      <c r="G288" t="s">
        <v>4699</v>
      </c>
    </row>
    <row r="289" spans="1:7" ht="11.25" customHeight="1">
      <c r="A289" t="s">
        <v>16</v>
      </c>
      <c r="B289" t="s">
        <v>4695</v>
      </c>
      <c r="C289" t="s">
        <v>4696</v>
      </c>
      <c r="D289" t="s">
        <v>4700</v>
      </c>
      <c r="E289" t="s">
        <v>4701</v>
      </c>
      <c r="F289" t="s">
        <v>3917</v>
      </c>
      <c r="G289" t="s">
        <v>4702</v>
      </c>
    </row>
    <row r="290" spans="1:7" ht="11.25" customHeight="1">
      <c r="A290" t="s">
        <v>16</v>
      </c>
      <c r="B290" t="s">
        <v>4695</v>
      </c>
      <c r="C290" t="s">
        <v>4696</v>
      </c>
      <c r="D290" t="s">
        <v>4703</v>
      </c>
      <c r="E290" t="s">
        <v>4704</v>
      </c>
      <c r="F290" t="s">
        <v>3917</v>
      </c>
      <c r="G290" t="s">
        <v>4705</v>
      </c>
    </row>
    <row r="291" spans="1:7" ht="11.25" customHeight="1">
      <c r="A291" t="s">
        <v>16</v>
      </c>
      <c r="B291" t="s">
        <v>4695</v>
      </c>
      <c r="C291" t="s">
        <v>4696</v>
      </c>
      <c r="D291" t="s">
        <v>4706</v>
      </c>
      <c r="E291" t="s">
        <v>4707</v>
      </c>
      <c r="F291" t="s">
        <v>3917</v>
      </c>
      <c r="G291" t="s">
        <v>4708</v>
      </c>
    </row>
    <row r="292" spans="1:7" ht="11.25" customHeight="1">
      <c r="A292" t="s">
        <v>16</v>
      </c>
      <c r="B292" t="s">
        <v>4695</v>
      </c>
      <c r="C292" t="s">
        <v>4696</v>
      </c>
      <c r="D292" t="s">
        <v>4709</v>
      </c>
      <c r="E292" t="s">
        <v>4710</v>
      </c>
      <c r="F292" t="s">
        <v>3917</v>
      </c>
      <c r="G292" t="s">
        <v>4711</v>
      </c>
    </row>
    <row r="293" spans="1:7" ht="11.25" customHeight="1">
      <c r="A293" t="s">
        <v>16</v>
      </c>
      <c r="B293" t="s">
        <v>4695</v>
      </c>
      <c r="C293" t="s">
        <v>4696</v>
      </c>
      <c r="D293" t="s">
        <v>4712</v>
      </c>
      <c r="E293" t="s">
        <v>4713</v>
      </c>
      <c r="F293" t="s">
        <v>3917</v>
      </c>
      <c r="G293" t="s">
        <v>4714</v>
      </c>
    </row>
    <row r="294" spans="1:7" ht="11.25" customHeight="1">
      <c r="A294" t="s">
        <v>16</v>
      </c>
      <c r="B294" t="s">
        <v>4695</v>
      </c>
      <c r="C294" t="s">
        <v>4696</v>
      </c>
      <c r="D294" t="s">
        <v>4715</v>
      </c>
      <c r="E294" t="s">
        <v>4716</v>
      </c>
      <c r="F294" t="s">
        <v>3917</v>
      </c>
      <c r="G294" t="s">
        <v>4717</v>
      </c>
    </row>
    <row r="295" spans="1:7" ht="11.25" customHeight="1">
      <c r="A295" t="s">
        <v>16</v>
      </c>
      <c r="B295" t="s">
        <v>4695</v>
      </c>
      <c r="C295" t="s">
        <v>4696</v>
      </c>
      <c r="D295" t="s">
        <v>4111</v>
      </c>
      <c r="E295" t="s">
        <v>4718</v>
      </c>
      <c r="F295" t="s">
        <v>3917</v>
      </c>
      <c r="G295" t="s">
        <v>4719</v>
      </c>
    </row>
    <row r="296" spans="1:7" ht="11.25" customHeight="1">
      <c r="A296" t="s">
        <v>16</v>
      </c>
      <c r="B296" t="s">
        <v>4695</v>
      </c>
      <c r="C296" t="s">
        <v>4696</v>
      </c>
      <c r="D296" t="s">
        <v>4720</v>
      </c>
      <c r="E296" t="s">
        <v>4721</v>
      </c>
      <c r="F296" t="s">
        <v>3917</v>
      </c>
      <c r="G296" t="s">
        <v>4722</v>
      </c>
    </row>
    <row r="297" spans="1:7" ht="11.25" customHeight="1">
      <c r="A297" t="s">
        <v>16</v>
      </c>
      <c r="B297" t="s">
        <v>4695</v>
      </c>
      <c r="C297" t="s">
        <v>4696</v>
      </c>
      <c r="D297" t="s">
        <v>4723</v>
      </c>
      <c r="E297" t="s">
        <v>4724</v>
      </c>
      <c r="F297" t="s">
        <v>3917</v>
      </c>
      <c r="G297" t="s">
        <v>4725</v>
      </c>
    </row>
    <row r="298" spans="1:7" ht="11.25" customHeight="1">
      <c r="A298" t="s">
        <v>16</v>
      </c>
      <c r="B298" t="s">
        <v>4695</v>
      </c>
      <c r="C298" t="s">
        <v>4696</v>
      </c>
      <c r="D298" t="s">
        <v>4726</v>
      </c>
      <c r="E298" t="s">
        <v>4727</v>
      </c>
      <c r="F298" t="s">
        <v>3917</v>
      </c>
      <c r="G298" t="s">
        <v>4728</v>
      </c>
    </row>
    <row r="299" spans="1:7" ht="11.25" customHeight="1">
      <c r="A299" t="s">
        <v>16</v>
      </c>
      <c r="B299" t="s">
        <v>4695</v>
      </c>
      <c r="C299" t="s">
        <v>4696</v>
      </c>
      <c r="D299" t="s">
        <v>4695</v>
      </c>
      <c r="E299" t="s">
        <v>4696</v>
      </c>
      <c r="F299" t="s">
        <v>3914</v>
      </c>
      <c r="G299" t="s">
        <v>4729</v>
      </c>
    </row>
    <row r="300" spans="1:7" ht="11.25" customHeight="1">
      <c r="A300" t="s">
        <v>16</v>
      </c>
      <c r="B300" t="s">
        <v>4695</v>
      </c>
      <c r="C300" t="s">
        <v>4696</v>
      </c>
      <c r="D300" t="s">
        <v>4730</v>
      </c>
      <c r="E300" t="s">
        <v>4731</v>
      </c>
      <c r="F300" t="s">
        <v>3917</v>
      </c>
      <c r="G300" t="s">
        <v>4732</v>
      </c>
    </row>
    <row r="301" spans="1:7" ht="11.25" customHeight="1">
      <c r="A301" t="s">
        <v>16</v>
      </c>
      <c r="B301" t="s">
        <v>4695</v>
      </c>
      <c r="C301" t="s">
        <v>4696</v>
      </c>
      <c r="D301" t="s">
        <v>4263</v>
      </c>
      <c r="E301" t="s">
        <v>4733</v>
      </c>
      <c r="F301" t="s">
        <v>3917</v>
      </c>
      <c r="G301" t="s">
        <v>4734</v>
      </c>
    </row>
    <row r="302" spans="1:7" ht="11.25" customHeight="1">
      <c r="A302" t="s">
        <v>16</v>
      </c>
      <c r="B302" t="s">
        <v>4695</v>
      </c>
      <c r="C302" t="s">
        <v>4696</v>
      </c>
      <c r="D302" t="s">
        <v>4735</v>
      </c>
      <c r="E302" t="s">
        <v>4736</v>
      </c>
      <c r="F302" t="s">
        <v>3917</v>
      </c>
      <c r="G302" t="s">
        <v>4737</v>
      </c>
    </row>
    <row r="303" spans="1:7" ht="11.25" customHeight="1">
      <c r="A303" t="s">
        <v>16</v>
      </c>
      <c r="B303" t="s">
        <v>4695</v>
      </c>
      <c r="C303" t="s">
        <v>4696</v>
      </c>
      <c r="D303" t="s">
        <v>4738</v>
      </c>
      <c r="E303" t="s">
        <v>4739</v>
      </c>
      <c r="F303" t="s">
        <v>3917</v>
      </c>
      <c r="G303" t="s">
        <v>4740</v>
      </c>
    </row>
    <row r="304" spans="1:7" ht="11.25" customHeight="1">
      <c r="A304" t="s">
        <v>16</v>
      </c>
      <c r="B304" t="s">
        <v>4695</v>
      </c>
      <c r="C304" t="s">
        <v>4696</v>
      </c>
      <c r="D304" t="s">
        <v>4741</v>
      </c>
      <c r="E304" t="s">
        <v>4742</v>
      </c>
      <c r="F304" t="s">
        <v>3952</v>
      </c>
      <c r="G304" t="s">
        <v>4743</v>
      </c>
    </row>
    <row r="305" spans="1:7" ht="11.25" customHeight="1">
      <c r="A305" t="s">
        <v>16</v>
      </c>
      <c r="B305" t="s">
        <v>4744</v>
      </c>
      <c r="C305" t="s">
        <v>4745</v>
      </c>
      <c r="D305" t="s">
        <v>4746</v>
      </c>
      <c r="E305" t="s">
        <v>4747</v>
      </c>
      <c r="F305" t="s">
        <v>3917</v>
      </c>
      <c r="G305" t="s">
        <v>4748</v>
      </c>
    </row>
    <row r="306" spans="1:7" ht="11.25" customHeight="1">
      <c r="A306" t="s">
        <v>16</v>
      </c>
      <c r="B306" t="s">
        <v>4744</v>
      </c>
      <c r="C306" t="s">
        <v>4745</v>
      </c>
      <c r="D306" t="s">
        <v>4749</v>
      </c>
      <c r="E306" t="s">
        <v>4750</v>
      </c>
      <c r="F306" t="s">
        <v>3917</v>
      </c>
      <c r="G306" t="s">
        <v>4751</v>
      </c>
    </row>
    <row r="307" spans="1:7" ht="11.25" customHeight="1">
      <c r="A307" t="s">
        <v>16</v>
      </c>
      <c r="B307" t="s">
        <v>4744</v>
      </c>
      <c r="C307" t="s">
        <v>4745</v>
      </c>
      <c r="D307" t="s">
        <v>4752</v>
      </c>
      <c r="E307" t="s">
        <v>4753</v>
      </c>
      <c r="F307" t="s">
        <v>3917</v>
      </c>
      <c r="G307" t="s">
        <v>4754</v>
      </c>
    </row>
    <row r="308" spans="1:7" ht="11.25" customHeight="1">
      <c r="A308" t="s">
        <v>16</v>
      </c>
      <c r="B308" t="s">
        <v>4744</v>
      </c>
      <c r="C308" t="s">
        <v>4745</v>
      </c>
      <c r="D308" t="s">
        <v>4755</v>
      </c>
      <c r="E308" t="s">
        <v>4756</v>
      </c>
      <c r="F308" t="s">
        <v>3917</v>
      </c>
      <c r="G308" t="s">
        <v>4757</v>
      </c>
    </row>
    <row r="309" spans="1:7" ht="11.25" customHeight="1">
      <c r="A309" t="s">
        <v>16</v>
      </c>
      <c r="B309" t="s">
        <v>4744</v>
      </c>
      <c r="C309" t="s">
        <v>4745</v>
      </c>
      <c r="D309" t="s">
        <v>4758</v>
      </c>
      <c r="E309" t="s">
        <v>4759</v>
      </c>
      <c r="F309" t="s">
        <v>3917</v>
      </c>
      <c r="G309" t="s">
        <v>4760</v>
      </c>
    </row>
    <row r="310" spans="1:7" ht="11.25" customHeight="1">
      <c r="A310" t="s">
        <v>16</v>
      </c>
      <c r="B310" t="s">
        <v>4744</v>
      </c>
      <c r="C310" t="s">
        <v>4745</v>
      </c>
      <c r="D310" t="s">
        <v>4761</v>
      </c>
      <c r="E310" t="s">
        <v>4762</v>
      </c>
      <c r="F310" t="s">
        <v>3917</v>
      </c>
      <c r="G310" t="s">
        <v>4763</v>
      </c>
    </row>
    <row r="311" spans="1:7" ht="11.25" customHeight="1">
      <c r="A311" t="s">
        <v>16</v>
      </c>
      <c r="B311" t="s">
        <v>4744</v>
      </c>
      <c r="C311" t="s">
        <v>4745</v>
      </c>
      <c r="D311" t="s">
        <v>4764</v>
      </c>
      <c r="E311" t="s">
        <v>4765</v>
      </c>
      <c r="F311" t="s">
        <v>3917</v>
      </c>
      <c r="G311" t="s">
        <v>4766</v>
      </c>
    </row>
    <row r="312" spans="1:7" ht="11.25" customHeight="1">
      <c r="A312" t="s">
        <v>16</v>
      </c>
      <c r="B312" t="s">
        <v>4744</v>
      </c>
      <c r="C312" t="s">
        <v>4745</v>
      </c>
      <c r="D312" t="s">
        <v>4767</v>
      </c>
      <c r="E312" t="s">
        <v>4768</v>
      </c>
      <c r="F312" t="s">
        <v>3917</v>
      </c>
      <c r="G312" t="s">
        <v>4769</v>
      </c>
    </row>
    <row r="313" spans="1:7" ht="11.25" customHeight="1">
      <c r="A313" t="s">
        <v>16</v>
      </c>
      <c r="B313" t="s">
        <v>4744</v>
      </c>
      <c r="C313" t="s">
        <v>4745</v>
      </c>
      <c r="D313" t="s">
        <v>4744</v>
      </c>
      <c r="E313" t="s">
        <v>4745</v>
      </c>
      <c r="F313" t="s">
        <v>3914</v>
      </c>
      <c r="G313" t="s">
        <v>4770</v>
      </c>
    </row>
    <row r="314" spans="1:7" ht="11.25" customHeight="1">
      <c r="A314" t="s">
        <v>16</v>
      </c>
      <c r="B314" t="s">
        <v>4744</v>
      </c>
      <c r="C314" t="s">
        <v>4745</v>
      </c>
      <c r="D314" t="s">
        <v>4771</v>
      </c>
      <c r="E314" t="s">
        <v>4772</v>
      </c>
      <c r="F314" t="s">
        <v>3917</v>
      </c>
      <c r="G314" t="s">
        <v>4773</v>
      </c>
    </row>
    <row r="315" spans="1:7" ht="11.25" customHeight="1">
      <c r="A315" t="s">
        <v>16</v>
      </c>
      <c r="B315" t="s">
        <v>4744</v>
      </c>
      <c r="C315" t="s">
        <v>4745</v>
      </c>
      <c r="D315" t="s">
        <v>4774</v>
      </c>
      <c r="E315" t="s">
        <v>4775</v>
      </c>
      <c r="F315" t="s">
        <v>3917</v>
      </c>
      <c r="G315" t="s">
        <v>4776</v>
      </c>
    </row>
    <row r="316" spans="1:7" ht="11.25" customHeight="1">
      <c r="A316" t="s">
        <v>16</v>
      </c>
      <c r="B316" t="s">
        <v>4744</v>
      </c>
      <c r="C316" t="s">
        <v>4745</v>
      </c>
      <c r="D316" t="s">
        <v>4777</v>
      </c>
      <c r="E316" t="s">
        <v>4778</v>
      </c>
      <c r="F316" t="s">
        <v>3917</v>
      </c>
      <c r="G316" t="s">
        <v>4779</v>
      </c>
    </row>
    <row r="317" spans="1:7" ht="11.25" customHeight="1">
      <c r="A317" t="s">
        <v>16</v>
      </c>
      <c r="B317" t="s">
        <v>4744</v>
      </c>
      <c r="C317" t="s">
        <v>4745</v>
      </c>
      <c r="D317" t="s">
        <v>4780</v>
      </c>
      <c r="E317" t="s">
        <v>4781</v>
      </c>
      <c r="F317" t="s">
        <v>3917</v>
      </c>
      <c r="G317" t="s">
        <v>4782</v>
      </c>
    </row>
    <row r="318" spans="1:7" ht="11.25" customHeight="1">
      <c r="A318" t="s">
        <v>16</v>
      </c>
      <c r="B318" t="s">
        <v>4744</v>
      </c>
      <c r="C318" t="s">
        <v>4745</v>
      </c>
      <c r="D318" t="s">
        <v>4783</v>
      </c>
      <c r="E318" t="s">
        <v>4784</v>
      </c>
      <c r="F318" t="s">
        <v>3917</v>
      </c>
      <c r="G318" t="s">
        <v>4785</v>
      </c>
    </row>
    <row r="319" spans="1:7" ht="11.25" customHeight="1">
      <c r="A319" t="s">
        <v>16</v>
      </c>
      <c r="B319" t="s">
        <v>4786</v>
      </c>
      <c r="C319" t="s">
        <v>4787</v>
      </c>
      <c r="D319" t="s">
        <v>4788</v>
      </c>
      <c r="E319" t="s">
        <v>4789</v>
      </c>
      <c r="F319" t="s">
        <v>3917</v>
      </c>
      <c r="G319" t="s">
        <v>4790</v>
      </c>
    </row>
    <row r="320" spans="1:7" ht="11.25" customHeight="1">
      <c r="A320" t="s">
        <v>16</v>
      </c>
      <c r="B320" t="s">
        <v>4786</v>
      </c>
      <c r="C320" t="s">
        <v>4787</v>
      </c>
      <c r="D320" t="s">
        <v>4791</v>
      </c>
      <c r="E320" t="s">
        <v>4792</v>
      </c>
      <c r="F320" t="s">
        <v>3917</v>
      </c>
      <c r="G320" t="s">
        <v>4793</v>
      </c>
    </row>
    <row r="321" spans="1:7" ht="11.25" customHeight="1">
      <c r="A321" t="s">
        <v>16</v>
      </c>
      <c r="B321" t="s">
        <v>4786</v>
      </c>
      <c r="C321" t="s">
        <v>4787</v>
      </c>
      <c r="D321" t="s">
        <v>4794</v>
      </c>
      <c r="E321" t="s">
        <v>4795</v>
      </c>
      <c r="F321" t="s">
        <v>3917</v>
      </c>
      <c r="G321" t="s">
        <v>4796</v>
      </c>
    </row>
    <row r="322" spans="1:7" ht="11.25" customHeight="1">
      <c r="A322" t="s">
        <v>16</v>
      </c>
      <c r="B322" t="s">
        <v>4786</v>
      </c>
      <c r="C322" t="s">
        <v>4787</v>
      </c>
      <c r="D322" t="s">
        <v>4797</v>
      </c>
      <c r="E322" t="s">
        <v>4798</v>
      </c>
      <c r="F322" t="s">
        <v>3917</v>
      </c>
      <c r="G322" t="s">
        <v>4799</v>
      </c>
    </row>
    <row r="323" spans="1:7" ht="11.25" customHeight="1">
      <c r="A323" t="s">
        <v>16</v>
      </c>
      <c r="B323" t="s">
        <v>4786</v>
      </c>
      <c r="C323" t="s">
        <v>4787</v>
      </c>
      <c r="D323" t="s">
        <v>4673</v>
      </c>
      <c r="E323" t="s">
        <v>4800</v>
      </c>
      <c r="F323" t="s">
        <v>3917</v>
      </c>
      <c r="G323" t="s">
        <v>4801</v>
      </c>
    </row>
    <row r="324" spans="1:7" ht="11.25" customHeight="1">
      <c r="A324" t="s">
        <v>16</v>
      </c>
      <c r="B324" t="s">
        <v>4786</v>
      </c>
      <c r="C324" t="s">
        <v>4787</v>
      </c>
      <c r="D324" t="s">
        <v>3922</v>
      </c>
      <c r="E324" t="s">
        <v>4802</v>
      </c>
      <c r="F324" t="s">
        <v>3917</v>
      </c>
      <c r="G324" t="s">
        <v>4803</v>
      </c>
    </row>
    <row r="325" spans="1:7" ht="11.25" customHeight="1">
      <c r="A325" t="s">
        <v>16</v>
      </c>
      <c r="B325" t="s">
        <v>4786</v>
      </c>
      <c r="C325" t="s">
        <v>4787</v>
      </c>
      <c r="D325" t="s">
        <v>4804</v>
      </c>
      <c r="E325" t="s">
        <v>4805</v>
      </c>
      <c r="F325" t="s">
        <v>3917</v>
      </c>
      <c r="G325" t="s">
        <v>4806</v>
      </c>
    </row>
    <row r="326" spans="1:7" ht="11.25" customHeight="1">
      <c r="A326" t="s">
        <v>16</v>
      </c>
      <c r="B326" t="s">
        <v>4786</v>
      </c>
      <c r="C326" t="s">
        <v>4787</v>
      </c>
      <c r="D326" t="s">
        <v>4786</v>
      </c>
      <c r="E326" t="s">
        <v>4787</v>
      </c>
      <c r="F326" t="s">
        <v>3914</v>
      </c>
      <c r="G326" t="s">
        <v>4807</v>
      </c>
    </row>
    <row r="327" spans="1:7" ht="11.25" customHeight="1">
      <c r="A327" t="s">
        <v>16</v>
      </c>
      <c r="B327" t="s">
        <v>4786</v>
      </c>
      <c r="C327" t="s">
        <v>4787</v>
      </c>
      <c r="D327" t="s">
        <v>4808</v>
      </c>
      <c r="E327" t="s">
        <v>4809</v>
      </c>
      <c r="F327" t="s">
        <v>3917</v>
      </c>
      <c r="G327" t="s">
        <v>4810</v>
      </c>
    </row>
    <row r="328" spans="1:7" ht="11.25" customHeight="1">
      <c r="A328" t="s">
        <v>16</v>
      </c>
      <c r="B328" t="s">
        <v>4786</v>
      </c>
      <c r="C328" t="s">
        <v>4787</v>
      </c>
      <c r="D328" t="s">
        <v>4811</v>
      </c>
      <c r="E328" t="s">
        <v>4812</v>
      </c>
      <c r="F328" t="s">
        <v>3917</v>
      </c>
      <c r="G328" t="s">
        <v>4813</v>
      </c>
    </row>
    <row r="329" spans="1:7" ht="11.25" customHeight="1">
      <c r="A329" t="s">
        <v>16</v>
      </c>
      <c r="B329" t="s">
        <v>4786</v>
      </c>
      <c r="C329" t="s">
        <v>4787</v>
      </c>
      <c r="D329" t="s">
        <v>4814</v>
      </c>
      <c r="E329" t="s">
        <v>4815</v>
      </c>
      <c r="F329" t="s">
        <v>3917</v>
      </c>
      <c r="G329" t="s">
        <v>4816</v>
      </c>
    </row>
    <row r="330" spans="1:7" ht="11.25" customHeight="1">
      <c r="A330" t="s">
        <v>16</v>
      </c>
      <c r="B330" t="s">
        <v>4786</v>
      </c>
      <c r="C330" t="s">
        <v>4787</v>
      </c>
      <c r="D330" t="s">
        <v>4817</v>
      </c>
      <c r="E330" t="s">
        <v>4818</v>
      </c>
      <c r="F330" t="s">
        <v>3917</v>
      </c>
      <c r="G330" t="s">
        <v>4819</v>
      </c>
    </row>
    <row r="331" spans="1:7" ht="11.25" customHeight="1">
      <c r="A331" t="s">
        <v>16</v>
      </c>
      <c r="B331" t="s">
        <v>4786</v>
      </c>
      <c r="C331" t="s">
        <v>4787</v>
      </c>
      <c r="D331" t="s">
        <v>4528</v>
      </c>
      <c r="E331" t="s">
        <v>4820</v>
      </c>
      <c r="F331" t="s">
        <v>3917</v>
      </c>
      <c r="G331" t="s">
        <v>4821</v>
      </c>
    </row>
    <row r="332" spans="1:7" ht="11.25" customHeight="1">
      <c r="A332" t="s">
        <v>16</v>
      </c>
      <c r="B332" t="s">
        <v>4786</v>
      </c>
      <c r="C332" t="s">
        <v>4787</v>
      </c>
      <c r="D332" t="s">
        <v>4822</v>
      </c>
      <c r="E332" t="s">
        <v>4823</v>
      </c>
      <c r="F332" t="s">
        <v>3917</v>
      </c>
      <c r="G332" t="s">
        <v>4824</v>
      </c>
    </row>
    <row r="333" spans="1:7" ht="11.25" customHeight="1">
      <c r="A333" t="s">
        <v>16</v>
      </c>
      <c r="B333" t="s">
        <v>4786</v>
      </c>
      <c r="C333" t="s">
        <v>4787</v>
      </c>
      <c r="D333" t="s">
        <v>4825</v>
      </c>
      <c r="E333" t="s">
        <v>4826</v>
      </c>
      <c r="F333" t="s">
        <v>4083</v>
      </c>
      <c r="G333" t="s">
        <v>4827</v>
      </c>
    </row>
    <row r="334" spans="1:7" ht="11.25" customHeight="1">
      <c r="A334" t="s">
        <v>16</v>
      </c>
      <c r="B334" t="s">
        <v>4828</v>
      </c>
      <c r="C334" t="s">
        <v>4829</v>
      </c>
      <c r="D334" t="s">
        <v>4830</v>
      </c>
      <c r="E334" t="s">
        <v>4831</v>
      </c>
      <c r="F334" t="s">
        <v>3917</v>
      </c>
      <c r="G334" t="s">
        <v>4832</v>
      </c>
    </row>
    <row r="335" spans="1:7" ht="11.25" customHeight="1">
      <c r="A335" t="s">
        <v>16</v>
      </c>
      <c r="B335" t="s">
        <v>4828</v>
      </c>
      <c r="C335" t="s">
        <v>4829</v>
      </c>
      <c r="D335" t="s">
        <v>4833</v>
      </c>
      <c r="E335" t="s">
        <v>4834</v>
      </c>
      <c r="F335" t="s">
        <v>3917</v>
      </c>
      <c r="G335" t="s">
        <v>4835</v>
      </c>
    </row>
    <row r="336" spans="1:7" ht="11.25" customHeight="1">
      <c r="A336" t="s">
        <v>16</v>
      </c>
      <c r="B336" t="s">
        <v>4828</v>
      </c>
      <c r="C336" t="s">
        <v>4829</v>
      </c>
      <c r="D336" t="s">
        <v>4720</v>
      </c>
      <c r="E336" t="s">
        <v>4836</v>
      </c>
      <c r="F336" t="s">
        <v>3917</v>
      </c>
      <c r="G336" t="s">
        <v>4837</v>
      </c>
    </row>
    <row r="337" spans="1:7" ht="11.25" customHeight="1">
      <c r="A337" t="s">
        <v>16</v>
      </c>
      <c r="B337" t="s">
        <v>4828</v>
      </c>
      <c r="C337" t="s">
        <v>4829</v>
      </c>
      <c r="D337" t="s">
        <v>4838</v>
      </c>
      <c r="E337" t="s">
        <v>4839</v>
      </c>
      <c r="F337" t="s">
        <v>3917</v>
      </c>
      <c r="G337" t="s">
        <v>4840</v>
      </c>
    </row>
    <row r="338" spans="1:7" ht="11.25" customHeight="1">
      <c r="A338" t="s">
        <v>16</v>
      </c>
      <c r="B338" t="s">
        <v>4828</v>
      </c>
      <c r="C338" t="s">
        <v>4829</v>
      </c>
      <c r="D338" t="s">
        <v>4841</v>
      </c>
      <c r="E338" t="s">
        <v>4842</v>
      </c>
      <c r="F338" t="s">
        <v>3917</v>
      </c>
      <c r="G338" t="s">
        <v>4843</v>
      </c>
    </row>
    <row r="339" spans="1:7" ht="11.25" customHeight="1">
      <c r="A339" t="s">
        <v>16</v>
      </c>
      <c r="B339" t="s">
        <v>4828</v>
      </c>
      <c r="C339" t="s">
        <v>4829</v>
      </c>
      <c r="D339" t="s">
        <v>4844</v>
      </c>
      <c r="E339" t="s">
        <v>4845</v>
      </c>
      <c r="F339" t="s">
        <v>3917</v>
      </c>
      <c r="G339" t="s">
        <v>4846</v>
      </c>
    </row>
    <row r="340" spans="1:7" ht="11.25" customHeight="1">
      <c r="A340" t="s">
        <v>16</v>
      </c>
      <c r="B340" t="s">
        <v>4828</v>
      </c>
      <c r="C340" t="s">
        <v>4829</v>
      </c>
      <c r="D340" t="s">
        <v>4847</v>
      </c>
      <c r="E340" t="s">
        <v>4848</v>
      </c>
      <c r="F340" t="s">
        <v>3917</v>
      </c>
      <c r="G340" t="s">
        <v>4849</v>
      </c>
    </row>
    <row r="341" spans="1:7" ht="11.25" customHeight="1">
      <c r="A341" t="s">
        <v>16</v>
      </c>
      <c r="B341" t="s">
        <v>4828</v>
      </c>
      <c r="C341" t="s">
        <v>4829</v>
      </c>
      <c r="D341" t="s">
        <v>4850</v>
      </c>
      <c r="E341" t="s">
        <v>4851</v>
      </c>
      <c r="F341" t="s">
        <v>3917</v>
      </c>
      <c r="G341" t="s">
        <v>4852</v>
      </c>
    </row>
    <row r="342" spans="1:7" ht="11.25" customHeight="1">
      <c r="A342" t="s">
        <v>16</v>
      </c>
      <c r="B342" t="s">
        <v>4828</v>
      </c>
      <c r="C342" t="s">
        <v>4829</v>
      </c>
      <c r="D342" t="s">
        <v>4828</v>
      </c>
      <c r="E342" t="s">
        <v>4829</v>
      </c>
      <c r="F342" t="s">
        <v>3914</v>
      </c>
      <c r="G342" t="s">
        <v>4853</v>
      </c>
    </row>
    <row r="343" spans="1:7" ht="11.25" customHeight="1">
      <c r="A343" t="s">
        <v>16</v>
      </c>
      <c r="B343" t="s">
        <v>4828</v>
      </c>
      <c r="C343" t="s">
        <v>4829</v>
      </c>
      <c r="D343" t="s">
        <v>4854</v>
      </c>
      <c r="E343" t="s">
        <v>4855</v>
      </c>
      <c r="F343" t="s">
        <v>3952</v>
      </c>
      <c r="G343" t="s">
        <v>4856</v>
      </c>
    </row>
    <row r="344" spans="1:7" ht="11.25" customHeight="1">
      <c r="A344" t="s">
        <v>16</v>
      </c>
      <c r="B344" t="s">
        <v>4828</v>
      </c>
      <c r="C344" t="s">
        <v>4829</v>
      </c>
      <c r="D344" t="s">
        <v>4857</v>
      </c>
      <c r="E344" t="s">
        <v>4858</v>
      </c>
      <c r="F344" t="s">
        <v>3917</v>
      </c>
      <c r="G344" t="s">
        <v>4859</v>
      </c>
    </row>
    <row r="345" spans="1:7" ht="11.25" customHeight="1">
      <c r="A345" t="s">
        <v>16</v>
      </c>
      <c r="B345" t="s">
        <v>4860</v>
      </c>
      <c r="C345" t="s">
        <v>4861</v>
      </c>
      <c r="D345" t="s">
        <v>4862</v>
      </c>
      <c r="E345" t="s">
        <v>4863</v>
      </c>
      <c r="F345" t="s">
        <v>3917</v>
      </c>
      <c r="G345" t="s">
        <v>4864</v>
      </c>
    </row>
    <row r="346" spans="1:7" ht="11.25" customHeight="1">
      <c r="A346" t="s">
        <v>16</v>
      </c>
      <c r="B346" t="s">
        <v>4860</v>
      </c>
      <c r="C346" t="s">
        <v>4861</v>
      </c>
      <c r="D346" t="s">
        <v>4865</v>
      </c>
      <c r="E346" t="s">
        <v>4866</v>
      </c>
      <c r="F346" t="s">
        <v>3917</v>
      </c>
      <c r="G346" t="s">
        <v>4867</v>
      </c>
    </row>
    <row r="347" spans="1:7" ht="11.25" customHeight="1">
      <c r="A347" t="s">
        <v>16</v>
      </c>
      <c r="B347" t="s">
        <v>4860</v>
      </c>
      <c r="C347" t="s">
        <v>4861</v>
      </c>
      <c r="D347" t="s">
        <v>4868</v>
      </c>
      <c r="E347" t="s">
        <v>4869</v>
      </c>
      <c r="F347" t="s">
        <v>3917</v>
      </c>
      <c r="G347" t="s">
        <v>4870</v>
      </c>
    </row>
    <row r="348" spans="1:7" ht="11.25" customHeight="1">
      <c r="A348" t="s">
        <v>16</v>
      </c>
      <c r="B348" t="s">
        <v>4860</v>
      </c>
      <c r="C348" t="s">
        <v>4861</v>
      </c>
      <c r="D348" t="s">
        <v>4871</v>
      </c>
      <c r="E348" t="s">
        <v>4872</v>
      </c>
      <c r="F348" t="s">
        <v>3917</v>
      </c>
      <c r="G348" t="s">
        <v>4873</v>
      </c>
    </row>
    <row r="349" spans="1:7" ht="11.25" customHeight="1">
      <c r="A349" t="s">
        <v>16</v>
      </c>
      <c r="B349" t="s">
        <v>4860</v>
      </c>
      <c r="C349" t="s">
        <v>4861</v>
      </c>
      <c r="D349" t="s">
        <v>4874</v>
      </c>
      <c r="E349" t="s">
        <v>4875</v>
      </c>
      <c r="F349" t="s">
        <v>3917</v>
      </c>
      <c r="G349" t="s">
        <v>4876</v>
      </c>
    </row>
    <row r="350" spans="1:7" ht="11.25" customHeight="1">
      <c r="A350" t="s">
        <v>16</v>
      </c>
      <c r="B350" t="s">
        <v>4860</v>
      </c>
      <c r="C350" t="s">
        <v>4861</v>
      </c>
      <c r="D350" t="s">
        <v>4877</v>
      </c>
      <c r="E350" t="s">
        <v>4878</v>
      </c>
      <c r="F350" t="s">
        <v>3917</v>
      </c>
      <c r="G350" t="s">
        <v>4879</v>
      </c>
    </row>
    <row r="351" spans="1:7" ht="11.25" customHeight="1">
      <c r="A351" t="s">
        <v>16</v>
      </c>
      <c r="B351" t="s">
        <v>4860</v>
      </c>
      <c r="C351" t="s">
        <v>4861</v>
      </c>
      <c r="D351" t="s">
        <v>4880</v>
      </c>
      <c r="E351" t="s">
        <v>4881</v>
      </c>
      <c r="F351" t="s">
        <v>3917</v>
      </c>
      <c r="G351" t="s">
        <v>4882</v>
      </c>
    </row>
    <row r="352" spans="1:7" ht="11.25" customHeight="1">
      <c r="A352" t="s">
        <v>16</v>
      </c>
      <c r="B352" t="s">
        <v>4860</v>
      </c>
      <c r="C352" t="s">
        <v>4861</v>
      </c>
      <c r="D352" t="s">
        <v>4860</v>
      </c>
      <c r="E352" t="s">
        <v>4861</v>
      </c>
      <c r="F352" t="s">
        <v>3914</v>
      </c>
      <c r="G352" t="s">
        <v>4883</v>
      </c>
    </row>
    <row r="353" spans="1:7" ht="11.25" customHeight="1">
      <c r="A353" t="s">
        <v>16</v>
      </c>
      <c r="B353" t="s">
        <v>4860</v>
      </c>
      <c r="C353" t="s">
        <v>4861</v>
      </c>
      <c r="D353" t="s">
        <v>4884</v>
      </c>
      <c r="E353" t="s">
        <v>4885</v>
      </c>
      <c r="F353" t="s">
        <v>3952</v>
      </c>
      <c r="G353" t="s">
        <v>4886</v>
      </c>
    </row>
    <row r="354" spans="1:7" ht="11.25" customHeight="1">
      <c r="A354" t="s">
        <v>16</v>
      </c>
      <c r="B354" t="s">
        <v>4860</v>
      </c>
      <c r="C354" t="s">
        <v>4861</v>
      </c>
      <c r="D354" t="s">
        <v>4887</v>
      </c>
      <c r="E354" t="s">
        <v>4888</v>
      </c>
      <c r="F354" t="s">
        <v>3917</v>
      </c>
      <c r="G354" t="s">
        <v>4889</v>
      </c>
    </row>
    <row r="355" spans="1:7" ht="11.25" customHeight="1">
      <c r="A355" t="s">
        <v>16</v>
      </c>
      <c r="B355" t="s">
        <v>4860</v>
      </c>
      <c r="C355" t="s">
        <v>4861</v>
      </c>
      <c r="D355" t="s">
        <v>4890</v>
      </c>
      <c r="E355" t="s">
        <v>4891</v>
      </c>
      <c r="F355" t="s">
        <v>3917</v>
      </c>
      <c r="G355" t="s">
        <v>4892</v>
      </c>
    </row>
    <row r="356" spans="1:7" ht="11.25" customHeight="1">
      <c r="A356" t="s">
        <v>16</v>
      </c>
      <c r="B356" t="s">
        <v>4893</v>
      </c>
      <c r="C356" t="s">
        <v>4894</v>
      </c>
      <c r="D356" t="s">
        <v>4895</v>
      </c>
      <c r="E356" t="s">
        <v>4896</v>
      </c>
      <c r="F356" t="s">
        <v>3917</v>
      </c>
      <c r="G356" t="s">
        <v>4897</v>
      </c>
    </row>
    <row r="357" spans="1:7" ht="11.25" customHeight="1">
      <c r="A357" t="s">
        <v>16</v>
      </c>
      <c r="B357" t="s">
        <v>4893</v>
      </c>
      <c r="C357" t="s">
        <v>4894</v>
      </c>
      <c r="D357" t="s">
        <v>4898</v>
      </c>
      <c r="E357" t="s">
        <v>4899</v>
      </c>
      <c r="F357" t="s">
        <v>3917</v>
      </c>
      <c r="G357" t="s">
        <v>4900</v>
      </c>
    </row>
    <row r="358" spans="1:7" ht="11.25" customHeight="1">
      <c r="A358" t="s">
        <v>16</v>
      </c>
      <c r="B358" t="s">
        <v>4893</v>
      </c>
      <c r="C358" t="s">
        <v>4894</v>
      </c>
      <c r="D358" t="s">
        <v>4901</v>
      </c>
      <c r="E358" t="s">
        <v>4902</v>
      </c>
      <c r="F358" t="s">
        <v>3917</v>
      </c>
      <c r="G358" t="s">
        <v>4903</v>
      </c>
    </row>
    <row r="359" spans="1:7" ht="11.25" customHeight="1">
      <c r="A359" t="s">
        <v>16</v>
      </c>
      <c r="B359" t="s">
        <v>4893</v>
      </c>
      <c r="C359" t="s">
        <v>4894</v>
      </c>
      <c r="D359" t="s">
        <v>4904</v>
      </c>
      <c r="E359" t="s">
        <v>4905</v>
      </c>
      <c r="F359" t="s">
        <v>3917</v>
      </c>
      <c r="G359" t="s">
        <v>4906</v>
      </c>
    </row>
    <row r="360" spans="1:7" ht="11.25" customHeight="1">
      <c r="A360" t="s">
        <v>16</v>
      </c>
      <c r="B360" t="s">
        <v>4893</v>
      </c>
      <c r="C360" t="s">
        <v>4894</v>
      </c>
      <c r="D360" t="s">
        <v>4907</v>
      </c>
      <c r="E360" t="s">
        <v>4908</v>
      </c>
      <c r="F360" t="s">
        <v>3917</v>
      </c>
      <c r="G360" t="s">
        <v>4909</v>
      </c>
    </row>
    <row r="361" spans="1:7" ht="11.25" customHeight="1">
      <c r="A361" t="s">
        <v>16</v>
      </c>
      <c r="B361" t="s">
        <v>4893</v>
      </c>
      <c r="C361" t="s">
        <v>4894</v>
      </c>
      <c r="D361" t="s">
        <v>4910</v>
      </c>
      <c r="E361" t="s">
        <v>4911</v>
      </c>
      <c r="F361" t="s">
        <v>3917</v>
      </c>
      <c r="G361" t="s">
        <v>4912</v>
      </c>
    </row>
    <row r="362" spans="1:7" ht="11.25" customHeight="1">
      <c r="A362" t="s">
        <v>16</v>
      </c>
      <c r="B362" t="s">
        <v>4893</v>
      </c>
      <c r="C362" t="s">
        <v>4894</v>
      </c>
      <c r="D362" t="s">
        <v>4913</v>
      </c>
      <c r="E362" t="s">
        <v>4914</v>
      </c>
      <c r="F362" t="s">
        <v>3917</v>
      </c>
      <c r="G362" t="s">
        <v>4915</v>
      </c>
    </row>
    <row r="363" spans="1:7" ht="11.25" customHeight="1">
      <c r="A363" t="s">
        <v>16</v>
      </c>
      <c r="B363" t="s">
        <v>4893</v>
      </c>
      <c r="C363" t="s">
        <v>4894</v>
      </c>
      <c r="D363" t="s">
        <v>4916</v>
      </c>
      <c r="E363" t="s">
        <v>4917</v>
      </c>
      <c r="F363" t="s">
        <v>3917</v>
      </c>
      <c r="G363" t="s">
        <v>4918</v>
      </c>
    </row>
    <row r="364" spans="1:7" ht="11.25" customHeight="1">
      <c r="A364" t="s">
        <v>16</v>
      </c>
      <c r="B364" t="s">
        <v>4893</v>
      </c>
      <c r="C364" t="s">
        <v>4894</v>
      </c>
      <c r="D364" t="s">
        <v>4919</v>
      </c>
      <c r="E364" t="s">
        <v>4920</v>
      </c>
      <c r="F364" t="s">
        <v>3917</v>
      </c>
      <c r="G364" t="s">
        <v>4921</v>
      </c>
    </row>
    <row r="365" spans="1:7" ht="11.25" customHeight="1">
      <c r="A365" t="s">
        <v>16</v>
      </c>
      <c r="B365" t="s">
        <v>4893</v>
      </c>
      <c r="C365" t="s">
        <v>4894</v>
      </c>
      <c r="D365" t="s">
        <v>4922</v>
      </c>
      <c r="E365" t="s">
        <v>4923</v>
      </c>
      <c r="F365" t="s">
        <v>3917</v>
      </c>
      <c r="G365" t="s">
        <v>4924</v>
      </c>
    </row>
    <row r="366" spans="1:7" ht="11.25" customHeight="1">
      <c r="A366" t="s">
        <v>16</v>
      </c>
      <c r="B366" t="s">
        <v>4893</v>
      </c>
      <c r="C366" t="s">
        <v>4894</v>
      </c>
      <c r="D366" t="s">
        <v>4893</v>
      </c>
      <c r="E366" t="s">
        <v>4894</v>
      </c>
      <c r="F366" t="s">
        <v>3914</v>
      </c>
      <c r="G366" t="s">
        <v>4925</v>
      </c>
    </row>
    <row r="367" spans="1:7" ht="11.25" customHeight="1">
      <c r="A367" t="s">
        <v>16</v>
      </c>
      <c r="B367" t="s">
        <v>4893</v>
      </c>
      <c r="C367" t="s">
        <v>4894</v>
      </c>
      <c r="D367" t="s">
        <v>4926</v>
      </c>
      <c r="E367" t="s">
        <v>4927</v>
      </c>
      <c r="F367" t="s">
        <v>3917</v>
      </c>
      <c r="G367" t="s">
        <v>4928</v>
      </c>
    </row>
    <row r="368" spans="1:7" ht="11.25" customHeight="1">
      <c r="A368" t="s">
        <v>16</v>
      </c>
      <c r="B368" t="s">
        <v>4893</v>
      </c>
      <c r="C368" t="s">
        <v>4894</v>
      </c>
      <c r="D368" t="s">
        <v>4929</v>
      </c>
      <c r="E368" t="s">
        <v>4930</v>
      </c>
      <c r="F368" t="s">
        <v>3917</v>
      </c>
      <c r="G368" t="s">
        <v>4931</v>
      </c>
    </row>
    <row r="369" spans="1:7" ht="11.25" customHeight="1">
      <c r="A369" t="s">
        <v>16</v>
      </c>
      <c r="B369" t="s">
        <v>4893</v>
      </c>
      <c r="C369" t="s">
        <v>4894</v>
      </c>
      <c r="D369" t="s">
        <v>4932</v>
      </c>
      <c r="E369" t="s">
        <v>4933</v>
      </c>
      <c r="F369" t="s">
        <v>3917</v>
      </c>
      <c r="G369" t="s">
        <v>4934</v>
      </c>
    </row>
    <row r="370" spans="1:7" ht="11.25" customHeight="1">
      <c r="A370" t="s">
        <v>16</v>
      </c>
      <c r="B370" t="s">
        <v>4893</v>
      </c>
      <c r="C370" t="s">
        <v>4894</v>
      </c>
      <c r="D370" t="s">
        <v>4935</v>
      </c>
      <c r="E370" t="s">
        <v>4936</v>
      </c>
      <c r="F370" t="s">
        <v>3917</v>
      </c>
      <c r="G370" t="s">
        <v>4937</v>
      </c>
    </row>
    <row r="371" spans="1:7" ht="11.25" customHeight="1">
      <c r="A371" t="s">
        <v>16</v>
      </c>
      <c r="B371" t="s">
        <v>4893</v>
      </c>
      <c r="C371" t="s">
        <v>4894</v>
      </c>
      <c r="D371" t="s">
        <v>4938</v>
      </c>
      <c r="E371" t="s">
        <v>4939</v>
      </c>
      <c r="F371" t="s">
        <v>4083</v>
      </c>
      <c r="G371" t="s">
        <v>4940</v>
      </c>
    </row>
    <row r="372" spans="1:7" ht="11.25" customHeight="1">
      <c r="A372" t="s">
        <v>16</v>
      </c>
      <c r="B372" t="s">
        <v>4941</v>
      </c>
      <c r="C372" t="s">
        <v>4942</v>
      </c>
      <c r="D372" t="s">
        <v>4943</v>
      </c>
      <c r="E372" t="s">
        <v>4944</v>
      </c>
      <c r="F372" t="s">
        <v>3917</v>
      </c>
      <c r="G372" t="s">
        <v>4945</v>
      </c>
    </row>
    <row r="373" spans="1:7" ht="11.25" customHeight="1">
      <c r="A373" t="s">
        <v>16</v>
      </c>
      <c r="B373" t="s">
        <v>4941</v>
      </c>
      <c r="C373" t="s">
        <v>4942</v>
      </c>
      <c r="D373" t="s">
        <v>4946</v>
      </c>
      <c r="E373" t="s">
        <v>4947</v>
      </c>
      <c r="F373" t="s">
        <v>3917</v>
      </c>
      <c r="G373" t="s">
        <v>4948</v>
      </c>
    </row>
    <row r="374" spans="1:7" ht="11.25" customHeight="1">
      <c r="A374" t="s">
        <v>16</v>
      </c>
      <c r="B374" t="s">
        <v>4941</v>
      </c>
      <c r="C374" t="s">
        <v>4942</v>
      </c>
      <c r="D374" t="s">
        <v>4868</v>
      </c>
      <c r="E374" t="s">
        <v>4949</v>
      </c>
      <c r="F374" t="s">
        <v>3917</v>
      </c>
      <c r="G374" t="s">
        <v>4950</v>
      </c>
    </row>
    <row r="375" spans="1:7" ht="11.25" customHeight="1">
      <c r="A375" t="s">
        <v>16</v>
      </c>
      <c r="B375" t="s">
        <v>4941</v>
      </c>
      <c r="C375" t="s">
        <v>4942</v>
      </c>
      <c r="D375" t="s">
        <v>4369</v>
      </c>
      <c r="E375" t="s">
        <v>4951</v>
      </c>
      <c r="F375" t="s">
        <v>3917</v>
      </c>
      <c r="G375" t="s">
        <v>4952</v>
      </c>
    </row>
    <row r="376" spans="1:7" ht="11.25" customHeight="1">
      <c r="A376" t="s">
        <v>16</v>
      </c>
      <c r="B376" t="s">
        <v>4941</v>
      </c>
      <c r="C376" t="s">
        <v>4942</v>
      </c>
      <c r="D376" t="s">
        <v>4953</v>
      </c>
      <c r="E376" t="s">
        <v>4954</v>
      </c>
      <c r="F376" t="s">
        <v>3917</v>
      </c>
      <c r="G376" t="s">
        <v>4955</v>
      </c>
    </row>
    <row r="377" spans="1:7" ht="11.25" customHeight="1">
      <c r="A377" t="s">
        <v>16</v>
      </c>
      <c r="B377" t="s">
        <v>4941</v>
      </c>
      <c r="C377" t="s">
        <v>4942</v>
      </c>
      <c r="D377" t="s">
        <v>3922</v>
      </c>
      <c r="E377" t="s">
        <v>4956</v>
      </c>
      <c r="F377" t="s">
        <v>3917</v>
      </c>
      <c r="G377" t="s">
        <v>4957</v>
      </c>
    </row>
    <row r="378" spans="1:7" ht="11.25" customHeight="1">
      <c r="A378" t="s">
        <v>16</v>
      </c>
      <c r="B378" t="s">
        <v>4941</v>
      </c>
      <c r="C378" t="s">
        <v>4942</v>
      </c>
      <c r="D378" t="s">
        <v>4958</v>
      </c>
      <c r="E378" t="s">
        <v>4959</v>
      </c>
      <c r="F378" t="s">
        <v>3917</v>
      </c>
      <c r="G378" t="s">
        <v>4960</v>
      </c>
    </row>
    <row r="379" spans="1:7" ht="11.25" customHeight="1">
      <c r="A379" t="s">
        <v>16</v>
      </c>
      <c r="B379" t="s">
        <v>4941</v>
      </c>
      <c r="C379" t="s">
        <v>4942</v>
      </c>
      <c r="D379" t="s">
        <v>4961</v>
      </c>
      <c r="E379" t="s">
        <v>4962</v>
      </c>
      <c r="F379" t="s">
        <v>3917</v>
      </c>
      <c r="G379" t="s">
        <v>4963</v>
      </c>
    </row>
    <row r="380" spans="1:7" ht="11.25" customHeight="1">
      <c r="A380" t="s">
        <v>16</v>
      </c>
      <c r="B380" t="s">
        <v>4941</v>
      </c>
      <c r="C380" t="s">
        <v>4942</v>
      </c>
      <c r="D380" t="s">
        <v>4941</v>
      </c>
      <c r="E380" t="s">
        <v>4942</v>
      </c>
      <c r="F380" t="s">
        <v>3914</v>
      </c>
      <c r="G380" t="s">
        <v>4964</v>
      </c>
    </row>
    <row r="381" spans="1:7" ht="11.25" customHeight="1">
      <c r="A381" t="s">
        <v>16</v>
      </c>
      <c r="B381" t="s">
        <v>4941</v>
      </c>
      <c r="C381" t="s">
        <v>4942</v>
      </c>
      <c r="D381" t="s">
        <v>4965</v>
      </c>
      <c r="E381" t="s">
        <v>4966</v>
      </c>
      <c r="F381" t="s">
        <v>3917</v>
      </c>
      <c r="G381" t="s">
        <v>4967</v>
      </c>
    </row>
    <row r="382" spans="1:7" ht="11.25" customHeight="1">
      <c r="A382" t="s">
        <v>16</v>
      </c>
      <c r="B382" t="s">
        <v>4941</v>
      </c>
      <c r="C382" t="s">
        <v>4942</v>
      </c>
      <c r="D382" t="s">
        <v>4968</v>
      </c>
      <c r="E382" t="s">
        <v>4969</v>
      </c>
      <c r="F382" t="s">
        <v>3917</v>
      </c>
      <c r="G382" t="s">
        <v>4970</v>
      </c>
    </row>
    <row r="383" spans="1:7" ht="11.25" customHeight="1">
      <c r="A383" t="s">
        <v>16</v>
      </c>
      <c r="B383" t="s">
        <v>4941</v>
      </c>
      <c r="C383" t="s">
        <v>4942</v>
      </c>
      <c r="D383" t="s">
        <v>4971</v>
      </c>
      <c r="E383" t="s">
        <v>4972</v>
      </c>
      <c r="F383" t="s">
        <v>4083</v>
      </c>
      <c r="G383" t="s">
        <v>4973</v>
      </c>
    </row>
    <row r="384" spans="1:7" ht="11.25" customHeight="1">
      <c r="A384" t="s">
        <v>16</v>
      </c>
      <c r="B384" t="s">
        <v>4941</v>
      </c>
      <c r="C384" t="s">
        <v>4942</v>
      </c>
      <c r="D384" t="s">
        <v>4974</v>
      </c>
      <c r="E384" t="s">
        <v>4975</v>
      </c>
      <c r="F384" t="s">
        <v>3952</v>
      </c>
      <c r="G384" t="s">
        <v>4976</v>
      </c>
    </row>
    <row r="385" spans="1:7" ht="11.25" customHeight="1">
      <c r="A385" t="s">
        <v>16</v>
      </c>
      <c r="B385" t="s">
        <v>4977</v>
      </c>
      <c r="C385" t="s">
        <v>4978</v>
      </c>
      <c r="D385" t="s">
        <v>4979</v>
      </c>
      <c r="E385" t="s">
        <v>4980</v>
      </c>
      <c r="F385" t="s">
        <v>3917</v>
      </c>
      <c r="G385" t="s">
        <v>4981</v>
      </c>
    </row>
    <row r="386" spans="1:7" ht="11.25" customHeight="1">
      <c r="A386" t="s">
        <v>16</v>
      </c>
      <c r="B386" t="s">
        <v>4977</v>
      </c>
      <c r="C386" t="s">
        <v>4978</v>
      </c>
      <c r="D386" t="s">
        <v>4982</v>
      </c>
      <c r="E386" t="s">
        <v>4983</v>
      </c>
      <c r="F386" t="s">
        <v>3917</v>
      </c>
      <c r="G386" t="s">
        <v>4984</v>
      </c>
    </row>
    <row r="387" spans="1:7" ht="11.25" customHeight="1">
      <c r="A387" t="s">
        <v>16</v>
      </c>
      <c r="B387" t="s">
        <v>4977</v>
      </c>
      <c r="C387" t="s">
        <v>4978</v>
      </c>
      <c r="D387" t="s">
        <v>4985</v>
      </c>
      <c r="E387" t="s">
        <v>4986</v>
      </c>
      <c r="F387" t="s">
        <v>3917</v>
      </c>
      <c r="G387" t="s">
        <v>4987</v>
      </c>
    </row>
    <row r="388" spans="1:7" ht="11.25" customHeight="1">
      <c r="A388" t="s">
        <v>16</v>
      </c>
      <c r="B388" t="s">
        <v>4977</v>
      </c>
      <c r="C388" t="s">
        <v>4978</v>
      </c>
      <c r="D388" t="s">
        <v>4988</v>
      </c>
      <c r="E388" t="s">
        <v>4989</v>
      </c>
      <c r="F388" t="s">
        <v>3917</v>
      </c>
      <c r="G388" t="s">
        <v>4990</v>
      </c>
    </row>
    <row r="389" spans="1:7" ht="11.25" customHeight="1">
      <c r="A389" t="s">
        <v>16</v>
      </c>
      <c r="B389" t="s">
        <v>4977</v>
      </c>
      <c r="C389" t="s">
        <v>4978</v>
      </c>
      <c r="D389" t="s">
        <v>4991</v>
      </c>
      <c r="E389" t="s">
        <v>4992</v>
      </c>
      <c r="F389" t="s">
        <v>3917</v>
      </c>
      <c r="G389" t="s">
        <v>4993</v>
      </c>
    </row>
    <row r="390" spans="1:7" ht="11.25" customHeight="1">
      <c r="A390" t="s">
        <v>16</v>
      </c>
      <c r="B390" t="s">
        <v>4977</v>
      </c>
      <c r="C390" t="s">
        <v>4978</v>
      </c>
      <c r="D390" t="s">
        <v>4994</v>
      </c>
      <c r="E390" t="s">
        <v>4995</v>
      </c>
      <c r="F390" t="s">
        <v>3917</v>
      </c>
      <c r="G390" t="s">
        <v>4996</v>
      </c>
    </row>
    <row r="391" spans="1:7" ht="11.25" customHeight="1">
      <c r="A391" t="s">
        <v>16</v>
      </c>
      <c r="B391" t="s">
        <v>4977</v>
      </c>
      <c r="C391" t="s">
        <v>4978</v>
      </c>
      <c r="D391" t="s">
        <v>4997</v>
      </c>
      <c r="E391" t="s">
        <v>4998</v>
      </c>
      <c r="F391" t="s">
        <v>3917</v>
      </c>
      <c r="G391" t="s">
        <v>4999</v>
      </c>
    </row>
    <row r="392" spans="1:7" ht="11.25" customHeight="1">
      <c r="A392" t="s">
        <v>16</v>
      </c>
      <c r="B392" t="s">
        <v>4977</v>
      </c>
      <c r="C392" t="s">
        <v>4978</v>
      </c>
      <c r="D392" t="s">
        <v>4158</v>
      </c>
      <c r="E392" t="s">
        <v>5000</v>
      </c>
      <c r="F392" t="s">
        <v>3917</v>
      </c>
      <c r="G392" t="s">
        <v>5001</v>
      </c>
    </row>
    <row r="393" spans="1:7" ht="11.25" customHeight="1">
      <c r="A393" t="s">
        <v>16</v>
      </c>
      <c r="B393" t="s">
        <v>4977</v>
      </c>
      <c r="C393" t="s">
        <v>4978</v>
      </c>
      <c r="D393" t="s">
        <v>5002</v>
      </c>
      <c r="E393" t="s">
        <v>5003</v>
      </c>
      <c r="F393" t="s">
        <v>3917</v>
      </c>
      <c r="G393" t="s">
        <v>5004</v>
      </c>
    </row>
    <row r="394" spans="1:7" ht="11.25" customHeight="1">
      <c r="A394" t="s">
        <v>16</v>
      </c>
      <c r="B394" t="s">
        <v>4977</v>
      </c>
      <c r="C394" t="s">
        <v>4978</v>
      </c>
      <c r="D394" t="s">
        <v>5005</v>
      </c>
      <c r="E394" t="s">
        <v>5006</v>
      </c>
      <c r="F394" t="s">
        <v>3917</v>
      </c>
      <c r="G394" t="s">
        <v>5007</v>
      </c>
    </row>
    <row r="395" spans="1:7" ht="11.25" customHeight="1">
      <c r="A395" t="s">
        <v>16</v>
      </c>
      <c r="B395" t="s">
        <v>4977</v>
      </c>
      <c r="C395" t="s">
        <v>4978</v>
      </c>
      <c r="D395" t="s">
        <v>5008</v>
      </c>
      <c r="E395" t="s">
        <v>5009</v>
      </c>
      <c r="F395" t="s">
        <v>3917</v>
      </c>
      <c r="G395" t="s">
        <v>5010</v>
      </c>
    </row>
    <row r="396" spans="1:7" ht="11.25" customHeight="1">
      <c r="A396" t="s">
        <v>16</v>
      </c>
      <c r="B396" t="s">
        <v>4977</v>
      </c>
      <c r="C396" t="s">
        <v>4978</v>
      </c>
      <c r="D396" t="s">
        <v>5011</v>
      </c>
      <c r="E396" t="s">
        <v>5012</v>
      </c>
      <c r="F396" t="s">
        <v>3917</v>
      </c>
      <c r="G396" t="s">
        <v>5013</v>
      </c>
    </row>
    <row r="397" spans="1:7" ht="11.25" customHeight="1">
      <c r="A397" t="s">
        <v>16</v>
      </c>
      <c r="B397" t="s">
        <v>4977</v>
      </c>
      <c r="C397" t="s">
        <v>4978</v>
      </c>
      <c r="D397" t="s">
        <v>5014</v>
      </c>
      <c r="E397" t="s">
        <v>5015</v>
      </c>
      <c r="F397" t="s">
        <v>3917</v>
      </c>
      <c r="G397" t="s">
        <v>5016</v>
      </c>
    </row>
    <row r="398" spans="1:7" ht="11.25" customHeight="1">
      <c r="A398" t="s">
        <v>16</v>
      </c>
      <c r="B398" t="s">
        <v>4977</v>
      </c>
      <c r="C398" t="s">
        <v>4978</v>
      </c>
      <c r="D398" t="s">
        <v>5017</v>
      </c>
      <c r="E398" t="s">
        <v>5018</v>
      </c>
      <c r="F398" t="s">
        <v>3917</v>
      </c>
      <c r="G398" t="s">
        <v>5019</v>
      </c>
    </row>
    <row r="399" spans="1:7" ht="11.25" customHeight="1">
      <c r="A399" t="s">
        <v>16</v>
      </c>
      <c r="B399" t="s">
        <v>4977</v>
      </c>
      <c r="C399" t="s">
        <v>4978</v>
      </c>
      <c r="D399" t="s">
        <v>4977</v>
      </c>
      <c r="E399" t="s">
        <v>4978</v>
      </c>
      <c r="F399" t="s">
        <v>3914</v>
      </c>
      <c r="G399" t="s">
        <v>5020</v>
      </c>
    </row>
    <row r="400" spans="1:7" ht="11.25" customHeight="1">
      <c r="A400" t="s">
        <v>16</v>
      </c>
      <c r="B400" t="s">
        <v>4977</v>
      </c>
      <c r="C400" t="s">
        <v>4978</v>
      </c>
      <c r="D400" t="s">
        <v>5021</v>
      </c>
      <c r="E400" t="s">
        <v>5022</v>
      </c>
      <c r="F400" t="s">
        <v>3917</v>
      </c>
      <c r="G400" t="s">
        <v>5023</v>
      </c>
    </row>
    <row r="401" spans="1:7" ht="11.25" customHeight="1">
      <c r="A401" t="s">
        <v>16</v>
      </c>
      <c r="B401" t="s">
        <v>4977</v>
      </c>
      <c r="C401" t="s">
        <v>4978</v>
      </c>
      <c r="D401" t="s">
        <v>5024</v>
      </c>
      <c r="E401" t="s">
        <v>5025</v>
      </c>
      <c r="F401" t="s">
        <v>3917</v>
      </c>
      <c r="G401" t="s">
        <v>5026</v>
      </c>
    </row>
    <row r="402" spans="1:7" ht="11.25" customHeight="1">
      <c r="A402" t="s">
        <v>16</v>
      </c>
      <c r="B402" t="s">
        <v>4977</v>
      </c>
      <c r="C402" t="s">
        <v>4978</v>
      </c>
      <c r="D402" t="s">
        <v>5027</v>
      </c>
      <c r="E402" t="s">
        <v>5028</v>
      </c>
      <c r="F402" t="s">
        <v>3917</v>
      </c>
      <c r="G402" t="s">
        <v>5029</v>
      </c>
    </row>
    <row r="403" spans="1:7" ht="11.25" customHeight="1">
      <c r="A403" t="s">
        <v>16</v>
      </c>
      <c r="B403" t="s">
        <v>4977</v>
      </c>
      <c r="C403" t="s">
        <v>4978</v>
      </c>
      <c r="D403" t="s">
        <v>5030</v>
      </c>
      <c r="E403" t="s">
        <v>5031</v>
      </c>
      <c r="F403" t="s">
        <v>3917</v>
      </c>
      <c r="G403" t="s">
        <v>5032</v>
      </c>
    </row>
    <row r="404" spans="1:7" ht="11.25" customHeight="1">
      <c r="A404" t="s">
        <v>16</v>
      </c>
      <c r="B404" t="s">
        <v>5033</v>
      </c>
      <c r="C404" t="s">
        <v>5034</v>
      </c>
      <c r="D404" t="s">
        <v>5035</v>
      </c>
      <c r="E404" t="s">
        <v>5036</v>
      </c>
      <c r="F404" t="s">
        <v>3917</v>
      </c>
      <c r="G404" t="s">
        <v>5037</v>
      </c>
    </row>
    <row r="405" spans="1:7" ht="11.25" customHeight="1">
      <c r="A405" t="s">
        <v>16</v>
      </c>
      <c r="B405" t="s">
        <v>5033</v>
      </c>
      <c r="C405" t="s">
        <v>5034</v>
      </c>
      <c r="D405" t="s">
        <v>5038</v>
      </c>
      <c r="E405" t="s">
        <v>5039</v>
      </c>
      <c r="F405" t="s">
        <v>3917</v>
      </c>
      <c r="G405" t="s">
        <v>5040</v>
      </c>
    </row>
    <row r="406" spans="1:7" ht="11.25" customHeight="1">
      <c r="A406" t="s">
        <v>16</v>
      </c>
      <c r="B406" t="s">
        <v>5033</v>
      </c>
      <c r="C406" t="s">
        <v>5034</v>
      </c>
      <c r="D406" t="s">
        <v>5041</v>
      </c>
      <c r="E406" t="s">
        <v>5042</v>
      </c>
      <c r="F406" t="s">
        <v>3917</v>
      </c>
      <c r="G406" t="s">
        <v>5043</v>
      </c>
    </row>
    <row r="407" spans="1:7" ht="11.25" customHeight="1">
      <c r="A407" t="s">
        <v>16</v>
      </c>
      <c r="B407" t="s">
        <v>5033</v>
      </c>
      <c r="C407" t="s">
        <v>5034</v>
      </c>
      <c r="D407" t="s">
        <v>4196</v>
      </c>
      <c r="E407" t="s">
        <v>5044</v>
      </c>
      <c r="F407" t="s">
        <v>3917</v>
      </c>
      <c r="G407" t="s">
        <v>5045</v>
      </c>
    </row>
    <row r="408" spans="1:7" ht="11.25" customHeight="1">
      <c r="A408" t="s">
        <v>16</v>
      </c>
      <c r="B408" t="s">
        <v>5033</v>
      </c>
      <c r="C408" t="s">
        <v>5034</v>
      </c>
      <c r="D408" t="s">
        <v>5046</v>
      </c>
      <c r="E408" t="s">
        <v>5047</v>
      </c>
      <c r="F408" t="s">
        <v>3917</v>
      </c>
      <c r="G408" t="s">
        <v>5048</v>
      </c>
    </row>
    <row r="409" spans="1:7" ht="11.25" customHeight="1">
      <c r="A409" t="s">
        <v>16</v>
      </c>
      <c r="B409" t="s">
        <v>5033</v>
      </c>
      <c r="C409" t="s">
        <v>5034</v>
      </c>
      <c r="D409" t="s">
        <v>5049</v>
      </c>
      <c r="E409" t="s">
        <v>5050</v>
      </c>
      <c r="F409" t="s">
        <v>3917</v>
      </c>
      <c r="G409" t="s">
        <v>5051</v>
      </c>
    </row>
    <row r="410" spans="1:7" ht="11.25" customHeight="1">
      <c r="A410" t="s">
        <v>16</v>
      </c>
      <c r="B410" t="s">
        <v>5033</v>
      </c>
      <c r="C410" t="s">
        <v>5034</v>
      </c>
      <c r="D410" t="s">
        <v>5052</v>
      </c>
      <c r="E410" t="s">
        <v>5053</v>
      </c>
      <c r="F410" t="s">
        <v>3917</v>
      </c>
      <c r="G410" t="s">
        <v>5054</v>
      </c>
    </row>
    <row r="411" spans="1:7" ht="11.25" customHeight="1">
      <c r="A411" t="s">
        <v>16</v>
      </c>
      <c r="B411" t="s">
        <v>5033</v>
      </c>
      <c r="C411" t="s">
        <v>5034</v>
      </c>
      <c r="D411" t="s">
        <v>5055</v>
      </c>
      <c r="E411" t="s">
        <v>5056</v>
      </c>
      <c r="F411" t="s">
        <v>3917</v>
      </c>
      <c r="G411" t="s">
        <v>5057</v>
      </c>
    </row>
    <row r="412" spans="1:7" ht="11.25" customHeight="1">
      <c r="A412" t="s">
        <v>16</v>
      </c>
      <c r="B412" t="s">
        <v>5033</v>
      </c>
      <c r="C412" t="s">
        <v>5034</v>
      </c>
      <c r="D412" t="s">
        <v>5058</v>
      </c>
      <c r="E412" t="s">
        <v>5059</v>
      </c>
      <c r="F412" t="s">
        <v>3917</v>
      </c>
      <c r="G412" t="s">
        <v>5060</v>
      </c>
    </row>
    <row r="413" spans="1:7" ht="11.25" customHeight="1">
      <c r="A413" t="s">
        <v>16</v>
      </c>
      <c r="B413" t="s">
        <v>5033</v>
      </c>
      <c r="C413" t="s">
        <v>5034</v>
      </c>
      <c r="D413" t="s">
        <v>5033</v>
      </c>
      <c r="E413" t="s">
        <v>5034</v>
      </c>
      <c r="F413" t="s">
        <v>3914</v>
      </c>
      <c r="G413" t="s">
        <v>5061</v>
      </c>
    </row>
    <row r="414" spans="1:7" ht="11.25" customHeight="1">
      <c r="A414" t="s">
        <v>16</v>
      </c>
      <c r="B414" t="s">
        <v>5033</v>
      </c>
      <c r="C414" t="s">
        <v>5034</v>
      </c>
      <c r="D414" t="s">
        <v>5062</v>
      </c>
      <c r="E414" t="s">
        <v>5063</v>
      </c>
      <c r="F414" t="s">
        <v>3917</v>
      </c>
      <c r="G414" t="s">
        <v>5064</v>
      </c>
    </row>
    <row r="415" spans="1:7" ht="11.25" customHeight="1">
      <c r="A415" t="s">
        <v>16</v>
      </c>
      <c r="B415" t="s">
        <v>5033</v>
      </c>
      <c r="C415" t="s">
        <v>5034</v>
      </c>
      <c r="D415" t="s">
        <v>5065</v>
      </c>
      <c r="E415" t="s">
        <v>5066</v>
      </c>
      <c r="F415" t="s">
        <v>4083</v>
      </c>
      <c r="G415" t="s">
        <v>5067</v>
      </c>
    </row>
    <row r="416" spans="1:7" ht="11.25" customHeight="1">
      <c r="A416" t="s">
        <v>16</v>
      </c>
      <c r="B416" t="s">
        <v>5068</v>
      </c>
      <c r="C416" t="s">
        <v>5069</v>
      </c>
      <c r="D416" t="s">
        <v>5070</v>
      </c>
      <c r="E416" t="s">
        <v>5071</v>
      </c>
      <c r="F416" t="s">
        <v>3917</v>
      </c>
      <c r="G416" t="s">
        <v>5072</v>
      </c>
    </row>
    <row r="417" spans="1:7" ht="11.25" customHeight="1">
      <c r="A417" t="s">
        <v>16</v>
      </c>
      <c r="B417" t="s">
        <v>5068</v>
      </c>
      <c r="C417" t="s">
        <v>5069</v>
      </c>
      <c r="D417" t="s">
        <v>5073</v>
      </c>
      <c r="E417" t="s">
        <v>5074</v>
      </c>
      <c r="F417" t="s">
        <v>3917</v>
      </c>
      <c r="G417" t="s">
        <v>5075</v>
      </c>
    </row>
    <row r="418" spans="1:7" ht="11.25" customHeight="1">
      <c r="A418" t="s">
        <v>16</v>
      </c>
      <c r="B418" t="s">
        <v>5068</v>
      </c>
      <c r="C418" t="s">
        <v>5069</v>
      </c>
      <c r="D418" t="s">
        <v>5076</v>
      </c>
      <c r="E418" t="s">
        <v>5077</v>
      </c>
      <c r="F418" t="s">
        <v>3917</v>
      </c>
      <c r="G418" t="s">
        <v>5078</v>
      </c>
    </row>
    <row r="419" spans="1:7" ht="11.25" customHeight="1">
      <c r="A419" t="s">
        <v>16</v>
      </c>
      <c r="B419" t="s">
        <v>5068</v>
      </c>
      <c r="C419" t="s">
        <v>5069</v>
      </c>
      <c r="D419" t="s">
        <v>5079</v>
      </c>
      <c r="E419" t="s">
        <v>5080</v>
      </c>
      <c r="F419" t="s">
        <v>3917</v>
      </c>
      <c r="G419" t="s">
        <v>5081</v>
      </c>
    </row>
    <row r="420" spans="1:7" ht="11.25" customHeight="1">
      <c r="A420" t="s">
        <v>16</v>
      </c>
      <c r="B420" t="s">
        <v>5068</v>
      </c>
      <c r="C420" t="s">
        <v>5069</v>
      </c>
      <c r="D420" t="s">
        <v>5082</v>
      </c>
      <c r="E420" t="s">
        <v>5083</v>
      </c>
      <c r="F420" t="s">
        <v>3917</v>
      </c>
      <c r="G420" t="s">
        <v>5084</v>
      </c>
    </row>
    <row r="421" spans="1:7" ht="11.25" customHeight="1">
      <c r="A421" t="s">
        <v>16</v>
      </c>
      <c r="B421" t="s">
        <v>5068</v>
      </c>
      <c r="C421" t="s">
        <v>5069</v>
      </c>
      <c r="D421" t="s">
        <v>5085</v>
      </c>
      <c r="E421" t="s">
        <v>5086</v>
      </c>
      <c r="F421" t="s">
        <v>3917</v>
      </c>
      <c r="G421" t="s">
        <v>5087</v>
      </c>
    </row>
    <row r="422" spans="1:7" ht="11.25" customHeight="1">
      <c r="A422" t="s">
        <v>16</v>
      </c>
      <c r="B422" t="s">
        <v>5068</v>
      </c>
      <c r="C422" t="s">
        <v>5069</v>
      </c>
      <c r="D422" t="s">
        <v>5041</v>
      </c>
      <c r="E422" t="s">
        <v>5088</v>
      </c>
      <c r="F422" t="s">
        <v>3917</v>
      </c>
      <c r="G422" t="s">
        <v>5089</v>
      </c>
    </row>
    <row r="423" spans="1:7" ht="11.25" customHeight="1">
      <c r="A423" t="s">
        <v>16</v>
      </c>
      <c r="B423" t="s">
        <v>5068</v>
      </c>
      <c r="C423" t="s">
        <v>5069</v>
      </c>
      <c r="D423" t="s">
        <v>4101</v>
      </c>
      <c r="E423" t="s">
        <v>5090</v>
      </c>
      <c r="F423" t="s">
        <v>3917</v>
      </c>
      <c r="G423" t="s">
        <v>5091</v>
      </c>
    </row>
    <row r="424" spans="1:7" ht="11.25" customHeight="1">
      <c r="A424" t="s">
        <v>16</v>
      </c>
      <c r="B424" t="s">
        <v>5068</v>
      </c>
      <c r="C424" t="s">
        <v>5069</v>
      </c>
      <c r="D424" t="s">
        <v>5092</v>
      </c>
      <c r="E424" t="s">
        <v>5093</v>
      </c>
      <c r="F424" t="s">
        <v>3917</v>
      </c>
      <c r="G424" t="s">
        <v>5094</v>
      </c>
    </row>
    <row r="425" spans="1:7" ht="11.25" customHeight="1">
      <c r="A425" t="s">
        <v>16</v>
      </c>
      <c r="B425" t="s">
        <v>5068</v>
      </c>
      <c r="C425" t="s">
        <v>5069</v>
      </c>
      <c r="D425" t="s">
        <v>5095</v>
      </c>
      <c r="E425" t="s">
        <v>5096</v>
      </c>
      <c r="F425" t="s">
        <v>3917</v>
      </c>
      <c r="G425" t="s">
        <v>5097</v>
      </c>
    </row>
    <row r="426" spans="1:7" ht="11.25" customHeight="1">
      <c r="A426" t="s">
        <v>16</v>
      </c>
      <c r="B426" t="s">
        <v>5068</v>
      </c>
      <c r="C426" t="s">
        <v>5069</v>
      </c>
      <c r="D426" t="s">
        <v>5098</v>
      </c>
      <c r="E426" t="s">
        <v>5099</v>
      </c>
      <c r="F426" t="s">
        <v>3917</v>
      </c>
      <c r="G426" t="s">
        <v>5100</v>
      </c>
    </row>
    <row r="427" spans="1:7" ht="11.25" customHeight="1">
      <c r="A427" t="s">
        <v>16</v>
      </c>
      <c r="B427" t="s">
        <v>5068</v>
      </c>
      <c r="C427" t="s">
        <v>5069</v>
      </c>
      <c r="D427" t="s">
        <v>4476</v>
      </c>
      <c r="E427" t="s">
        <v>5101</v>
      </c>
      <c r="F427" t="s">
        <v>3917</v>
      </c>
      <c r="G427" t="s">
        <v>5102</v>
      </c>
    </row>
    <row r="428" spans="1:7" ht="11.25" customHeight="1">
      <c r="A428" t="s">
        <v>16</v>
      </c>
      <c r="B428" t="s">
        <v>5068</v>
      </c>
      <c r="C428" t="s">
        <v>5069</v>
      </c>
      <c r="D428" t="s">
        <v>5103</v>
      </c>
      <c r="E428" t="s">
        <v>5104</v>
      </c>
      <c r="F428" t="s">
        <v>3917</v>
      </c>
      <c r="G428" t="s">
        <v>5105</v>
      </c>
    </row>
    <row r="429" spans="1:7" ht="11.25" customHeight="1">
      <c r="A429" t="s">
        <v>16</v>
      </c>
      <c r="B429" t="s">
        <v>5068</v>
      </c>
      <c r="C429" t="s">
        <v>5069</v>
      </c>
      <c r="D429" t="s">
        <v>5106</v>
      </c>
      <c r="E429" t="s">
        <v>5107</v>
      </c>
      <c r="F429" t="s">
        <v>3917</v>
      </c>
      <c r="G429" t="s">
        <v>5108</v>
      </c>
    </row>
    <row r="430" spans="1:7" ht="11.25" customHeight="1">
      <c r="A430" t="s">
        <v>16</v>
      </c>
      <c r="B430" t="s">
        <v>5068</v>
      </c>
      <c r="C430" t="s">
        <v>5069</v>
      </c>
      <c r="D430" t="s">
        <v>5109</v>
      </c>
      <c r="E430" t="s">
        <v>5110</v>
      </c>
      <c r="F430" t="s">
        <v>3917</v>
      </c>
      <c r="G430" t="s">
        <v>5111</v>
      </c>
    </row>
    <row r="431" spans="1:7" ht="11.25" customHeight="1">
      <c r="A431" t="s">
        <v>16</v>
      </c>
      <c r="B431" t="s">
        <v>5068</v>
      </c>
      <c r="C431" t="s">
        <v>5069</v>
      </c>
      <c r="D431" t="s">
        <v>5112</v>
      </c>
      <c r="E431" t="s">
        <v>5113</v>
      </c>
      <c r="F431" t="s">
        <v>3917</v>
      </c>
      <c r="G431" t="s">
        <v>5114</v>
      </c>
    </row>
    <row r="432" spans="1:7" ht="11.25" customHeight="1">
      <c r="A432" t="s">
        <v>16</v>
      </c>
      <c r="B432" t="s">
        <v>5068</v>
      </c>
      <c r="C432" t="s">
        <v>5069</v>
      </c>
      <c r="D432" t="s">
        <v>5115</v>
      </c>
      <c r="E432" t="s">
        <v>5116</v>
      </c>
      <c r="F432" t="s">
        <v>3917</v>
      </c>
      <c r="G432" t="s">
        <v>5117</v>
      </c>
    </row>
    <row r="433" spans="1:7" ht="11.25" customHeight="1">
      <c r="A433" t="s">
        <v>16</v>
      </c>
      <c r="B433" t="s">
        <v>5068</v>
      </c>
      <c r="C433" t="s">
        <v>5069</v>
      </c>
      <c r="D433" t="s">
        <v>5118</v>
      </c>
      <c r="E433" t="s">
        <v>5119</v>
      </c>
      <c r="F433" t="s">
        <v>3917</v>
      </c>
      <c r="G433" t="s">
        <v>5120</v>
      </c>
    </row>
    <row r="434" spans="1:7" ht="11.25" customHeight="1">
      <c r="A434" t="s">
        <v>16</v>
      </c>
      <c r="B434" t="s">
        <v>5068</v>
      </c>
      <c r="C434" t="s">
        <v>5069</v>
      </c>
      <c r="D434" t="s">
        <v>5121</v>
      </c>
      <c r="E434" t="s">
        <v>5122</v>
      </c>
      <c r="F434" t="s">
        <v>3917</v>
      </c>
      <c r="G434" t="s">
        <v>5123</v>
      </c>
    </row>
    <row r="435" spans="1:7" ht="11.25" customHeight="1">
      <c r="A435" t="s">
        <v>16</v>
      </c>
      <c r="B435" t="s">
        <v>5068</v>
      </c>
      <c r="C435" t="s">
        <v>5069</v>
      </c>
      <c r="D435" t="s">
        <v>5068</v>
      </c>
      <c r="E435" t="s">
        <v>5069</v>
      </c>
      <c r="F435" t="s">
        <v>3914</v>
      </c>
      <c r="G435" t="s">
        <v>5124</v>
      </c>
    </row>
    <row r="436" spans="1:7" ht="11.25" customHeight="1">
      <c r="A436" t="s">
        <v>16</v>
      </c>
      <c r="B436" t="s">
        <v>5068</v>
      </c>
      <c r="C436" t="s">
        <v>5069</v>
      </c>
      <c r="D436" t="s">
        <v>5125</v>
      </c>
      <c r="E436" t="s">
        <v>5126</v>
      </c>
      <c r="F436" t="s">
        <v>3917</v>
      </c>
      <c r="G436" t="s">
        <v>5127</v>
      </c>
    </row>
    <row r="437" spans="1:7" ht="11.25" customHeight="1">
      <c r="A437" t="s">
        <v>16</v>
      </c>
      <c r="B437" t="s">
        <v>5128</v>
      </c>
      <c r="C437" t="s">
        <v>5129</v>
      </c>
      <c r="D437" t="s">
        <v>5130</v>
      </c>
      <c r="E437" t="s">
        <v>5131</v>
      </c>
      <c r="F437" t="s">
        <v>3917</v>
      </c>
      <c r="G437" t="s">
        <v>5132</v>
      </c>
    </row>
    <row r="438" spans="1:7" ht="11.25" customHeight="1">
      <c r="A438" t="s">
        <v>16</v>
      </c>
      <c r="B438" t="s">
        <v>5128</v>
      </c>
      <c r="C438" t="s">
        <v>5129</v>
      </c>
      <c r="D438" t="s">
        <v>5133</v>
      </c>
      <c r="E438" t="s">
        <v>5134</v>
      </c>
      <c r="F438" t="s">
        <v>3917</v>
      </c>
      <c r="G438" t="s">
        <v>5135</v>
      </c>
    </row>
    <row r="439" spans="1:7" ht="11.25" customHeight="1">
      <c r="A439" t="s">
        <v>16</v>
      </c>
      <c r="B439" t="s">
        <v>5128</v>
      </c>
      <c r="C439" t="s">
        <v>5129</v>
      </c>
      <c r="D439" t="s">
        <v>5136</v>
      </c>
      <c r="E439" t="s">
        <v>5137</v>
      </c>
      <c r="F439" t="s">
        <v>3917</v>
      </c>
      <c r="G439" t="s">
        <v>5138</v>
      </c>
    </row>
    <row r="440" spans="1:7" ht="11.25" customHeight="1">
      <c r="A440" t="s">
        <v>16</v>
      </c>
      <c r="B440" t="s">
        <v>5128</v>
      </c>
      <c r="C440" t="s">
        <v>5129</v>
      </c>
      <c r="D440" t="s">
        <v>5139</v>
      </c>
      <c r="E440" t="s">
        <v>5140</v>
      </c>
      <c r="F440" t="s">
        <v>3917</v>
      </c>
      <c r="G440" t="s">
        <v>5141</v>
      </c>
    </row>
    <row r="441" spans="1:7" ht="11.25" customHeight="1">
      <c r="A441" t="s">
        <v>16</v>
      </c>
      <c r="B441" t="s">
        <v>5128</v>
      </c>
      <c r="C441" t="s">
        <v>5129</v>
      </c>
      <c r="D441" t="s">
        <v>5142</v>
      </c>
      <c r="E441" t="s">
        <v>5143</v>
      </c>
      <c r="F441" t="s">
        <v>3917</v>
      </c>
      <c r="G441" t="s">
        <v>5144</v>
      </c>
    </row>
    <row r="442" spans="1:7" ht="11.25" customHeight="1">
      <c r="A442" t="s">
        <v>16</v>
      </c>
      <c r="B442" t="s">
        <v>5128</v>
      </c>
      <c r="C442" t="s">
        <v>5129</v>
      </c>
      <c r="D442" t="s">
        <v>5145</v>
      </c>
      <c r="E442" t="s">
        <v>5146</v>
      </c>
      <c r="F442" t="s">
        <v>3917</v>
      </c>
      <c r="G442" t="s">
        <v>5147</v>
      </c>
    </row>
    <row r="443" spans="1:7" ht="11.25" customHeight="1">
      <c r="A443" t="s">
        <v>16</v>
      </c>
      <c r="B443" t="s">
        <v>5128</v>
      </c>
      <c r="C443" t="s">
        <v>5129</v>
      </c>
      <c r="D443" t="s">
        <v>5148</v>
      </c>
      <c r="E443" t="s">
        <v>5149</v>
      </c>
      <c r="F443" t="s">
        <v>3917</v>
      </c>
      <c r="G443" t="s">
        <v>5150</v>
      </c>
    </row>
    <row r="444" spans="1:7" ht="11.25" customHeight="1">
      <c r="A444" t="s">
        <v>16</v>
      </c>
      <c r="B444" t="s">
        <v>5128</v>
      </c>
      <c r="C444" t="s">
        <v>5129</v>
      </c>
      <c r="D444" t="s">
        <v>5151</v>
      </c>
      <c r="E444" t="s">
        <v>5152</v>
      </c>
      <c r="F444" t="s">
        <v>3917</v>
      </c>
      <c r="G444" t="s">
        <v>5153</v>
      </c>
    </row>
    <row r="445" spans="1:7" ht="11.25" customHeight="1">
      <c r="A445" t="s">
        <v>16</v>
      </c>
      <c r="B445" t="s">
        <v>5128</v>
      </c>
      <c r="C445" t="s">
        <v>5129</v>
      </c>
      <c r="D445" t="s">
        <v>5154</v>
      </c>
      <c r="E445" t="s">
        <v>5155</v>
      </c>
      <c r="F445" t="s">
        <v>3917</v>
      </c>
      <c r="G445" t="s">
        <v>5156</v>
      </c>
    </row>
    <row r="446" spans="1:7" ht="11.25" customHeight="1">
      <c r="A446" t="s">
        <v>16</v>
      </c>
      <c r="B446" t="s">
        <v>5128</v>
      </c>
      <c r="C446" t="s">
        <v>5129</v>
      </c>
      <c r="D446" t="s">
        <v>4129</v>
      </c>
      <c r="E446" t="s">
        <v>5157</v>
      </c>
      <c r="F446" t="s">
        <v>3917</v>
      </c>
      <c r="G446" t="s">
        <v>5158</v>
      </c>
    </row>
    <row r="447" spans="1:7" ht="11.25" customHeight="1">
      <c r="A447" t="s">
        <v>16</v>
      </c>
      <c r="B447" t="s">
        <v>5128</v>
      </c>
      <c r="C447" t="s">
        <v>5129</v>
      </c>
      <c r="D447" t="s">
        <v>5128</v>
      </c>
      <c r="E447" t="s">
        <v>5129</v>
      </c>
      <c r="F447" t="s">
        <v>3914</v>
      </c>
      <c r="G447" t="s">
        <v>5159</v>
      </c>
    </row>
    <row r="448" spans="1:7" ht="11.25" customHeight="1">
      <c r="A448" t="s">
        <v>16</v>
      </c>
      <c r="B448" t="s">
        <v>5128</v>
      </c>
      <c r="C448" t="s">
        <v>5129</v>
      </c>
      <c r="D448" t="s">
        <v>5160</v>
      </c>
      <c r="E448" t="s">
        <v>5161</v>
      </c>
      <c r="F448" t="s">
        <v>3917</v>
      </c>
      <c r="G448" t="s">
        <v>5162</v>
      </c>
    </row>
    <row r="449" spans="1:7" ht="11.25" customHeight="1">
      <c r="A449" t="s">
        <v>16</v>
      </c>
      <c r="B449" t="s">
        <v>5163</v>
      </c>
      <c r="C449" t="s">
        <v>5164</v>
      </c>
      <c r="D449" t="s">
        <v>5165</v>
      </c>
      <c r="E449" t="s">
        <v>5166</v>
      </c>
      <c r="F449" t="s">
        <v>3917</v>
      </c>
      <c r="G449" t="s">
        <v>5167</v>
      </c>
    </row>
    <row r="450" spans="1:7" ht="11.25" customHeight="1">
      <c r="A450" t="s">
        <v>16</v>
      </c>
      <c r="B450" t="s">
        <v>5163</v>
      </c>
      <c r="C450" t="s">
        <v>5164</v>
      </c>
      <c r="D450" t="s">
        <v>5168</v>
      </c>
      <c r="E450" t="s">
        <v>5169</v>
      </c>
      <c r="F450" t="s">
        <v>3917</v>
      </c>
      <c r="G450" t="s">
        <v>5170</v>
      </c>
    </row>
    <row r="451" spans="1:7" ht="11.25" customHeight="1">
      <c r="A451" t="s">
        <v>16</v>
      </c>
      <c r="B451" t="s">
        <v>5163</v>
      </c>
      <c r="C451" t="s">
        <v>5164</v>
      </c>
      <c r="D451" t="s">
        <v>5171</v>
      </c>
      <c r="E451" t="s">
        <v>5172</v>
      </c>
      <c r="F451" t="s">
        <v>3917</v>
      </c>
      <c r="G451" t="s">
        <v>5173</v>
      </c>
    </row>
    <row r="452" spans="1:7" ht="11.25" customHeight="1">
      <c r="A452" t="s">
        <v>16</v>
      </c>
      <c r="B452" t="s">
        <v>5163</v>
      </c>
      <c r="C452" t="s">
        <v>5164</v>
      </c>
      <c r="D452" t="s">
        <v>5174</v>
      </c>
      <c r="E452" t="s">
        <v>5175</v>
      </c>
      <c r="F452" t="s">
        <v>3917</v>
      </c>
      <c r="G452" t="s">
        <v>5176</v>
      </c>
    </row>
    <row r="453" spans="1:7" ht="11.25" customHeight="1">
      <c r="A453" t="s">
        <v>16</v>
      </c>
      <c r="B453" t="s">
        <v>5163</v>
      </c>
      <c r="C453" t="s">
        <v>5164</v>
      </c>
      <c r="D453" t="s">
        <v>5177</v>
      </c>
      <c r="E453" t="s">
        <v>5178</v>
      </c>
      <c r="F453" t="s">
        <v>3917</v>
      </c>
      <c r="G453" t="s">
        <v>5179</v>
      </c>
    </row>
    <row r="454" spans="1:7" ht="11.25" customHeight="1">
      <c r="A454" t="s">
        <v>16</v>
      </c>
      <c r="B454" t="s">
        <v>5163</v>
      </c>
      <c r="C454" t="s">
        <v>5164</v>
      </c>
      <c r="D454" t="s">
        <v>4362</v>
      </c>
      <c r="E454" t="s">
        <v>5180</v>
      </c>
      <c r="F454" t="s">
        <v>3917</v>
      </c>
      <c r="G454" t="s">
        <v>5181</v>
      </c>
    </row>
    <row r="455" spans="1:7" ht="11.25" customHeight="1">
      <c r="A455" t="s">
        <v>16</v>
      </c>
      <c r="B455" t="s">
        <v>5163</v>
      </c>
      <c r="C455" t="s">
        <v>5164</v>
      </c>
      <c r="D455" t="s">
        <v>4158</v>
      </c>
      <c r="E455" t="s">
        <v>5182</v>
      </c>
      <c r="F455" t="s">
        <v>3917</v>
      </c>
      <c r="G455" t="s">
        <v>5183</v>
      </c>
    </row>
    <row r="456" spans="1:7" ht="11.25" customHeight="1">
      <c r="A456" t="s">
        <v>16</v>
      </c>
      <c r="B456" t="s">
        <v>5163</v>
      </c>
      <c r="C456" t="s">
        <v>5164</v>
      </c>
      <c r="D456" t="s">
        <v>5184</v>
      </c>
      <c r="E456" t="s">
        <v>5185</v>
      </c>
      <c r="F456" t="s">
        <v>3917</v>
      </c>
      <c r="G456" t="s">
        <v>5186</v>
      </c>
    </row>
    <row r="457" spans="1:7" ht="11.25" customHeight="1">
      <c r="A457" t="s">
        <v>16</v>
      </c>
      <c r="B457" t="s">
        <v>5163</v>
      </c>
      <c r="C457" t="s">
        <v>5164</v>
      </c>
      <c r="D457" t="s">
        <v>5187</v>
      </c>
      <c r="E457" t="s">
        <v>5188</v>
      </c>
      <c r="F457" t="s">
        <v>3917</v>
      </c>
      <c r="G457" t="s">
        <v>5189</v>
      </c>
    </row>
    <row r="458" spans="1:7" ht="11.25" customHeight="1">
      <c r="A458" t="s">
        <v>16</v>
      </c>
      <c r="B458" t="s">
        <v>5163</v>
      </c>
      <c r="C458" t="s">
        <v>5164</v>
      </c>
      <c r="D458" t="s">
        <v>5190</v>
      </c>
      <c r="E458" t="s">
        <v>5191</v>
      </c>
      <c r="F458" t="s">
        <v>3917</v>
      </c>
      <c r="G458" t="s">
        <v>5192</v>
      </c>
    </row>
    <row r="459" spans="1:7" ht="11.25" customHeight="1">
      <c r="A459" t="s">
        <v>16</v>
      </c>
      <c r="B459" t="s">
        <v>5163</v>
      </c>
      <c r="C459" t="s">
        <v>5164</v>
      </c>
      <c r="D459" t="s">
        <v>5193</v>
      </c>
      <c r="E459" t="s">
        <v>5194</v>
      </c>
      <c r="F459" t="s">
        <v>3917</v>
      </c>
      <c r="G459" t="s">
        <v>5195</v>
      </c>
    </row>
    <row r="460" spans="1:7" ht="11.25" customHeight="1">
      <c r="A460" t="s">
        <v>16</v>
      </c>
      <c r="B460" t="s">
        <v>5163</v>
      </c>
      <c r="C460" t="s">
        <v>5164</v>
      </c>
      <c r="D460" t="s">
        <v>5163</v>
      </c>
      <c r="E460" t="s">
        <v>5164</v>
      </c>
      <c r="F460" t="s">
        <v>3914</v>
      </c>
      <c r="G460" t="s">
        <v>5196</v>
      </c>
    </row>
    <row r="461" spans="1:7" ht="11.25" customHeight="1">
      <c r="A461" t="s">
        <v>16</v>
      </c>
      <c r="B461" t="s">
        <v>5163</v>
      </c>
      <c r="C461" t="s">
        <v>5164</v>
      </c>
      <c r="D461" t="s">
        <v>5197</v>
      </c>
      <c r="E461" t="s">
        <v>5198</v>
      </c>
      <c r="F461" t="s">
        <v>3952</v>
      </c>
      <c r="G461" t="s">
        <v>5199</v>
      </c>
    </row>
    <row r="462" spans="1:7" ht="11.25" customHeight="1">
      <c r="A462" t="s">
        <v>16</v>
      </c>
      <c r="B462" t="s">
        <v>5200</v>
      </c>
      <c r="C462" t="s">
        <v>5201</v>
      </c>
      <c r="D462" t="s">
        <v>5200</v>
      </c>
      <c r="E462" t="s">
        <v>5201</v>
      </c>
      <c r="F462" t="s">
        <v>5202</v>
      </c>
      <c r="G462" t="s">
        <v>5203</v>
      </c>
    </row>
    <row r="463" spans="1:7" ht="11.25" customHeight="1">
      <c r="A463" t="s">
        <v>16</v>
      </c>
      <c r="B463" t="s">
        <v>5204</v>
      </c>
      <c r="C463" t="s">
        <v>5205</v>
      </c>
      <c r="D463" t="s">
        <v>5204</v>
      </c>
      <c r="E463" t="s">
        <v>5205</v>
      </c>
      <c r="F463" t="s">
        <v>5202</v>
      </c>
      <c r="G463" t="s">
        <v>5206</v>
      </c>
    </row>
    <row r="464" spans="1:7" ht="11.25" customHeight="1">
      <c r="A464" t="s">
        <v>16</v>
      </c>
      <c r="B464" t="s">
        <v>99</v>
      </c>
      <c r="C464" t="s">
        <v>100</v>
      </c>
      <c r="D464" t="s">
        <v>99</v>
      </c>
      <c r="E464" t="s">
        <v>100</v>
      </c>
      <c r="F464" t="s">
        <v>5202</v>
      </c>
      <c r="G464" t="s">
        <v>98</v>
      </c>
    </row>
    <row r="465" spans="1:7" ht="11.25" customHeight="1">
      <c r="A465" t="s">
        <v>16</v>
      </c>
      <c r="B465" t="s">
        <v>5207</v>
      </c>
      <c r="C465" t="s">
        <v>5208</v>
      </c>
      <c r="D465" t="s">
        <v>5207</v>
      </c>
      <c r="E465" t="s">
        <v>5208</v>
      </c>
      <c r="F465" t="s">
        <v>5202</v>
      </c>
      <c r="G465" t="s">
        <v>5209</v>
      </c>
    </row>
    <row r="466" spans="1:7" ht="11.25" customHeight="1">
      <c r="A466" t="s">
        <v>16</v>
      </c>
      <c r="B466" t="s">
        <v>5210</v>
      </c>
      <c r="C466" t="s">
        <v>5211</v>
      </c>
      <c r="D466" t="s">
        <v>5210</v>
      </c>
      <c r="E466" t="s">
        <v>5211</v>
      </c>
      <c r="F466" t="s">
        <v>5202</v>
      </c>
      <c r="G466" t="s">
        <v>5212</v>
      </c>
    </row>
    <row r="467" spans="1:7" ht="11.25" customHeight="1">
      <c r="A467" t="s">
        <v>16</v>
      </c>
      <c r="B467" t="s">
        <v>5213</v>
      </c>
      <c r="C467" t="s">
        <v>5214</v>
      </c>
      <c r="D467" t="s">
        <v>5213</v>
      </c>
      <c r="E467" t="s">
        <v>5214</v>
      </c>
      <c r="F467" t="s">
        <v>5202</v>
      </c>
      <c r="G467" t="s">
        <v>5215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5243</v>
      </c>
      <c r="B1" s="766" t="s">
        <v>5244</v>
      </c>
      <c r="C1" s="766" t="s">
        <v>1167</v>
      </c>
    </row>
    <row r="2" spans="1:3" ht="11.25" customHeight="1">
      <c r="A2" s="766">
        <v>4189678</v>
      </c>
      <c r="B2" s="766" t="s">
        <v>5245</v>
      </c>
      <c r="C2" s="766" t="s">
        <v>5246</v>
      </c>
    </row>
    <row r="3" spans="1:3" ht="11.25" customHeight="1">
      <c r="A3" s="766">
        <v>4190415</v>
      </c>
      <c r="B3" s="766" t="s">
        <v>5247</v>
      </c>
      <c r="C3" s="766" t="s">
        <v>5246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5248</v>
      </c>
      <c r="B1" s="100" t="s">
        <v>5249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5250</v>
      </c>
      <c r="B1" t="b">
        <v>1</v>
      </c>
    </row>
    <row r="2" spans="1:2" ht="11.25" customHeight="1">
      <c r="A2" t="s">
        <v>5251</v>
      </c>
      <c r="B2" t="b">
        <v>0</v>
      </c>
    </row>
    <row r="3" spans="1:2" ht="11.25" customHeight="1">
      <c r="A3" t="s">
        <v>5252</v>
      </c>
      <c r="B3" t="b">
        <v>0</v>
      </c>
    </row>
    <row r="4" spans="1:2" ht="11.25" customHeight="1">
      <c r="A4" t="s">
        <v>5253</v>
      </c>
      <c r="B4" t="b">
        <v>1</v>
      </c>
    </row>
    <row r="5" spans="1:2" ht="11.25" customHeight="1">
      <c r="A5" t="s">
        <v>5254</v>
      </c>
      <c r="B5" t="b">
        <v>0</v>
      </c>
    </row>
    <row r="6" spans="1:2" ht="11.25" customHeight="1">
      <c r="A6" t="s">
        <v>5255</v>
      </c>
      <c r="B6" t="b">
        <v>0</v>
      </c>
    </row>
    <row r="7" spans="1:2" ht="11.25" customHeight="1">
      <c r="A7" t="s">
        <v>5256</v>
      </c>
      <c r="B7" t="b">
        <v>0</v>
      </c>
    </row>
    <row r="8" spans="1:2" ht="11.25" customHeight="1">
      <c r="A8" t="s">
        <v>5257</v>
      </c>
      <c r="B8" t="b">
        <v>0</v>
      </c>
    </row>
    <row r="9" spans="1:2" ht="11.25" customHeight="1">
      <c r="A9" t="s">
        <v>5258</v>
      </c>
      <c r="B9" t="b">
        <v>0</v>
      </c>
    </row>
    <row r="10" spans="1:2" ht="11.25" customHeight="1">
      <c r="A10" t="s">
        <v>5259</v>
      </c>
      <c r="B10" t="b">
        <v>0</v>
      </c>
    </row>
    <row r="11" spans="1:2" ht="11.25" customHeight="1">
      <c r="A11" t="s">
        <v>5260</v>
      </c>
      <c r="B11" t="b">
        <v>1</v>
      </c>
    </row>
    <row r="12" spans="1:2" ht="11.25" customHeight="1">
      <c r="A12" t="s">
        <v>5261</v>
      </c>
      <c r="B12" t="b">
        <v>0</v>
      </c>
    </row>
    <row r="13" spans="1:2" ht="11.25" customHeight="1">
      <c r="A13" t="s">
        <v>5262</v>
      </c>
      <c r="B13" t="b">
        <v>0</v>
      </c>
    </row>
    <row r="14" spans="1:2" ht="11.25" customHeight="1">
      <c r="A14" t="s">
        <v>5263</v>
      </c>
      <c r="B14" t="b">
        <v>0</v>
      </c>
    </row>
    <row r="15" spans="1:2" ht="11.25" customHeight="1">
      <c r="A15" t="s">
        <v>5264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5265</v>
      </c>
      <c r="B1" s="6" t="s">
        <v>5266</v>
      </c>
    </row>
    <row r="2" spans="1:2" ht="11.25" customHeight="1">
      <c r="A2" s="3" t="s">
        <v>5267</v>
      </c>
      <c r="B2" s="3" t="s">
        <v>5268</v>
      </c>
    </row>
    <row r="3" spans="1:2" ht="11.25" customHeight="1">
      <c r="A3" s="3" t="s">
        <v>5269</v>
      </c>
      <c r="B3" s="3" t="s">
        <v>5270</v>
      </c>
    </row>
    <row r="4" spans="1:2" ht="11.25" customHeight="1">
      <c r="A4" s="3" t="s">
        <v>5271</v>
      </c>
      <c r="B4" s="3" t="s">
        <v>5272</v>
      </c>
    </row>
    <row r="5" spans="1:2" ht="11.25" customHeight="1">
      <c r="A5" s="3" t="s">
        <v>5273</v>
      </c>
      <c r="B5" s="3" t="s">
        <v>5274</v>
      </c>
    </row>
    <row r="6" spans="1:2" ht="11.25" customHeight="1">
      <c r="A6" s="3" t="s">
        <v>5275</v>
      </c>
      <c r="B6" s="3" t="s">
        <v>5276</v>
      </c>
    </row>
    <row r="7" spans="1:2" ht="11.25" customHeight="1">
      <c r="A7" s="3" t="s">
        <v>5277</v>
      </c>
      <c r="B7" s="3" t="s">
        <v>5278</v>
      </c>
    </row>
    <row r="8" spans="1:2" ht="11.25" customHeight="1">
      <c r="A8" s="3" t="s">
        <v>5279</v>
      </c>
      <c r="B8" s="3" t="s">
        <v>5280</v>
      </c>
    </row>
    <row r="9" spans="1:2" ht="11.25" customHeight="1">
      <c r="A9" s="3" t="s">
        <v>5281</v>
      </c>
      <c r="B9" s="3" t="s">
        <v>5282</v>
      </c>
    </row>
    <row r="10" spans="1:2" ht="11.25" customHeight="1">
      <c r="A10" s="3" t="s">
        <v>5283</v>
      </c>
      <c r="B10" s="3" t="s">
        <v>5284</v>
      </c>
    </row>
    <row r="11" spans="1:2" ht="11.25" customHeight="1">
      <c r="A11" s="3" t="s">
        <v>5285</v>
      </c>
      <c r="B11" s="3" t="s">
        <v>5286</v>
      </c>
    </row>
    <row r="12" spans="1:2" ht="11.25" customHeight="1">
      <c r="A12" s="3" t="s">
        <v>5287</v>
      </c>
      <c r="B12" s="3" t="s">
        <v>5288</v>
      </c>
    </row>
    <row r="13" spans="1:2" ht="11.25" customHeight="1">
      <c r="A13" s="3" t="s">
        <v>5289</v>
      </c>
      <c r="B13" s="3" t="s">
        <v>5290</v>
      </c>
    </row>
    <row r="14" spans="1:2" ht="11.25" customHeight="1">
      <c r="A14" s="3" t="s">
        <v>5291</v>
      </c>
      <c r="B14" s="3" t="s">
        <v>5292</v>
      </c>
    </row>
    <row r="15" spans="1:2" ht="11.25" customHeight="1">
      <c r="A15" s="3" t="s">
        <v>5293</v>
      </c>
      <c r="B15" s="3" t="s">
        <v>5294</v>
      </c>
    </row>
    <row r="16" spans="1:2" ht="11.25" customHeight="1">
      <c r="A16" s="3" t="s">
        <v>5295</v>
      </c>
      <c r="B16" s="3" t="s">
        <v>5296</v>
      </c>
    </row>
    <row r="17" spans="1:2" ht="11.25" customHeight="1">
      <c r="A17" s="3" t="s">
        <v>5297</v>
      </c>
      <c r="B17" s="3" t="s">
        <v>5298</v>
      </c>
    </row>
    <row r="18" spans="1:2" ht="11.25" customHeight="1">
      <c r="A18" s="3" t="s">
        <v>5299</v>
      </c>
      <c r="B18" s="3" t="s">
        <v>5300</v>
      </c>
    </row>
    <row r="19" spans="1:2" ht="11.25" customHeight="1">
      <c r="A19" s="3" t="s">
        <v>5301</v>
      </c>
      <c r="B19" s="3" t="s">
        <v>5302</v>
      </c>
    </row>
    <row r="20" spans="1:2" ht="11.25" customHeight="1">
      <c r="A20" s="3" t="s">
        <v>5303</v>
      </c>
      <c r="B20" s="3" t="s">
        <v>5304</v>
      </c>
    </row>
    <row r="21" spans="1:2" ht="11.25" customHeight="1">
      <c r="A21" s="3" t="s">
        <v>5305</v>
      </c>
      <c r="B21" s="3" t="s">
        <v>5306</v>
      </c>
    </row>
    <row r="22" spans="1:2" ht="11.25" customHeight="1">
      <c r="A22" s="3" t="s">
        <v>5307</v>
      </c>
      <c r="B22" s="3" t="s">
        <v>5308</v>
      </c>
    </row>
    <row r="23" spans="1:2" ht="11.25" customHeight="1">
      <c r="A23" s="3" t="s">
        <v>5309</v>
      </c>
      <c r="B23" s="3" t="s">
        <v>5310</v>
      </c>
    </row>
    <row r="24" spans="1:2" ht="11.25" customHeight="1">
      <c r="A24" s="3" t="s">
        <v>5311</v>
      </c>
      <c r="B24" s="3" t="s">
        <v>5312</v>
      </c>
    </row>
    <row r="25" spans="1:2" ht="11.25" customHeight="1">
      <c r="A25" s="3" t="s">
        <v>5313</v>
      </c>
      <c r="B25" s="3" t="s">
        <v>5314</v>
      </c>
    </row>
    <row r="26" spans="1:2" ht="11.25" customHeight="1">
      <c r="A26" s="3" t="s">
        <v>5315</v>
      </c>
      <c r="B26" s="3" t="s">
        <v>5316</v>
      </c>
    </row>
    <row r="27" spans="1:2" ht="11.25" customHeight="1">
      <c r="A27" s="3" t="s">
        <v>5317</v>
      </c>
      <c r="B27" s="3" t="s">
        <v>5318</v>
      </c>
    </row>
    <row r="28" spans="1:2" ht="11.25" customHeight="1">
      <c r="A28" s="3" t="s">
        <v>5319</v>
      </c>
      <c r="B28" s="3" t="s">
        <v>5320</v>
      </c>
    </row>
    <row r="29" spans="1:2" ht="11.25" customHeight="1">
      <c r="A29" s="3" t="s">
        <v>5321</v>
      </c>
      <c r="B29" s="3" t="s">
        <v>5322</v>
      </c>
    </row>
    <row r="30" spans="1:2" ht="11.25" customHeight="1">
      <c r="A30" s="3" t="s">
        <v>5323</v>
      </c>
      <c r="B30" s="3" t="s">
        <v>5324</v>
      </c>
    </row>
    <row r="31" spans="1:2" ht="11.25" customHeight="1">
      <c r="A31" s="3" t="s">
        <v>5325</v>
      </c>
      <c r="B31" s="3" t="s">
        <v>5326</v>
      </c>
    </row>
    <row r="32" spans="1:2" ht="11.25" customHeight="1">
      <c r="A32" s="3" t="s">
        <v>5327</v>
      </c>
      <c r="B32" s="3" t="s">
        <v>5328</v>
      </c>
    </row>
    <row r="33" spans="1:2" ht="11.25" customHeight="1">
      <c r="A33" s="3" t="s">
        <v>5329</v>
      </c>
      <c r="B33" s="3" t="s">
        <v>5330</v>
      </c>
    </row>
    <row r="34" spans="1:2" ht="11.25" customHeight="1">
      <c r="A34" s="3" t="s">
        <v>5331</v>
      </c>
      <c r="B34" s="3" t="s">
        <v>5332</v>
      </c>
    </row>
    <row r="35" spans="1:2" ht="11.25" customHeight="1">
      <c r="A35" s="3" t="s">
        <v>5333</v>
      </c>
      <c r="B35" s="3" t="s">
        <v>5334</v>
      </c>
    </row>
    <row r="36" spans="1:2" ht="11.25" customHeight="1">
      <c r="A36" s="3" t="s">
        <v>5335</v>
      </c>
      <c r="B36" s="3" t="s">
        <v>5336</v>
      </c>
    </row>
    <row r="37" spans="1:2" ht="11.25" customHeight="1">
      <c r="A37" s="3" t="s">
        <v>5337</v>
      </c>
      <c r="B37" s="3" t="s">
        <v>5338</v>
      </c>
    </row>
    <row r="38" spans="1:2" ht="11.25" customHeight="1">
      <c r="A38" s="3" t="s">
        <v>5339</v>
      </c>
      <c r="B38" s="3" t="s">
        <v>5340</v>
      </c>
    </row>
    <row r="39" spans="1:2" ht="11.25" customHeight="1">
      <c r="A39" s="3" t="s">
        <v>5341</v>
      </c>
      <c r="B39" s="3" t="s">
        <v>5342</v>
      </c>
    </row>
    <row r="40" spans="1:2" ht="11.25" customHeight="1">
      <c r="A40" s="3" t="s">
        <v>5343</v>
      </c>
      <c r="B40" s="3" t="s">
        <v>5344</v>
      </c>
    </row>
    <row r="41" spans="1:2" ht="11.25" customHeight="1">
      <c r="A41" s="3" t="s">
        <v>5345</v>
      </c>
      <c r="B41" s="3" t="s">
        <v>5346</v>
      </c>
    </row>
    <row r="42" spans="1:2" ht="11.25" customHeight="1">
      <c r="A42" s="3" t="s">
        <v>5347</v>
      </c>
      <c r="B42" s="3" t="s">
        <v>5348</v>
      </c>
    </row>
    <row r="43" spans="1:2" ht="11.25" customHeight="1">
      <c r="A43" s="3" t="s">
        <v>5349</v>
      </c>
      <c r="B43" s="3" t="s">
        <v>5350</v>
      </c>
    </row>
    <row r="44" spans="1:2" ht="11.25" customHeight="1">
      <c r="A44" s="3" t="s">
        <v>5351</v>
      </c>
      <c r="B44" s="3" t="s">
        <v>5352</v>
      </c>
    </row>
    <row r="45" spans="1:2" ht="11.25" customHeight="1">
      <c r="A45" s="3" t="s">
        <v>5353</v>
      </c>
      <c r="B45" s="3" t="s">
        <v>5354</v>
      </c>
    </row>
    <row r="46" spans="1:2" ht="11.25" customHeight="1">
      <c r="A46" s="3" t="s">
        <v>5355</v>
      </c>
      <c r="B46" s="3" t="s">
        <v>5356</v>
      </c>
    </row>
    <row r="47" spans="1:2" ht="11.25" customHeight="1">
      <c r="A47" s="3" t="s">
        <v>5357</v>
      </c>
      <c r="B47" s="3" t="s">
        <v>5358</v>
      </c>
    </row>
    <row r="48" spans="1:2" ht="11.25" customHeight="1">
      <c r="A48" s="3" t="s">
        <v>5359</v>
      </c>
      <c r="B48" s="3" t="s">
        <v>5360</v>
      </c>
    </row>
    <row r="49" spans="1:2" ht="11.25" customHeight="1">
      <c r="A49" s="3" t="s">
        <v>5361</v>
      </c>
      <c r="B49" s="3" t="s">
        <v>5362</v>
      </c>
    </row>
    <row r="50" spans="1:2" ht="11.25" customHeight="1">
      <c r="A50" s="3" t="s">
        <v>5363</v>
      </c>
      <c r="B50" s="3" t="s">
        <v>5364</v>
      </c>
    </row>
    <row r="51" spans="1:2" ht="11.25" customHeight="1">
      <c r="A51" s="3" t="s">
        <v>5365</v>
      </c>
      <c r="B51" s="3" t="s">
        <v>5366</v>
      </c>
    </row>
    <row r="52" spans="1:2" ht="11.25" customHeight="1">
      <c r="A52" s="3" t="s">
        <v>5367</v>
      </c>
      <c r="B52" s="3" t="s">
        <v>5368</v>
      </c>
    </row>
    <row r="53" spans="1:2" ht="11.25" customHeight="1">
      <c r="A53" s="3" t="s">
        <v>5369</v>
      </c>
      <c r="B53" s="3" t="s">
        <v>5370</v>
      </c>
    </row>
    <row r="54" spans="1:2" ht="11.25" customHeight="1">
      <c r="A54" s="3" t="s">
        <v>5371</v>
      </c>
      <c r="B54" s="3" t="s">
        <v>5372</v>
      </c>
    </row>
    <row r="55" spans="1:2" ht="11.25" customHeight="1">
      <c r="A55" s="3" t="s">
        <v>5373</v>
      </c>
      <c r="B55" s="3" t="s">
        <v>5374</v>
      </c>
    </row>
    <row r="56" spans="1:2" ht="11.25" customHeight="1">
      <c r="A56" s="3" t="s">
        <v>5375</v>
      </c>
      <c r="B56" s="3" t="s">
        <v>5376</v>
      </c>
    </row>
    <row r="57" spans="1:2" ht="11.25" customHeight="1">
      <c r="A57" s="3" t="s">
        <v>5377</v>
      </c>
      <c r="B57" s="3" t="s">
        <v>5378</v>
      </c>
    </row>
    <row r="58" spans="1:2" ht="11.25" customHeight="1">
      <c r="A58" s="3" t="s">
        <v>5379</v>
      </c>
      <c r="B58" s="3" t="s">
        <v>5380</v>
      </c>
    </row>
    <row r="59" spans="1:2" ht="11.25" customHeight="1">
      <c r="A59" s="3" t="s">
        <v>5381</v>
      </c>
      <c r="B59" s="3" t="s">
        <v>5382</v>
      </c>
    </row>
    <row r="60" spans="1:2" ht="11.25" customHeight="1">
      <c r="A60" s="3" t="s">
        <v>5383</v>
      </c>
      <c r="B60" s="3" t="s">
        <v>5384</v>
      </c>
    </row>
    <row r="61" spans="1:2" ht="11.25" customHeight="1">
      <c r="A61" s="3"/>
      <c r="B61" s="3" t="s">
        <v>5385</v>
      </c>
    </row>
    <row r="62" spans="1:2" ht="11.25" customHeight="1">
      <c r="A62" s="3"/>
      <c r="B62" s="3" t="s">
        <v>5386</v>
      </c>
    </row>
    <row r="63" spans="1:2" ht="11.25" customHeight="1">
      <c r="A63" s="3"/>
      <c r="B63" s="3" t="s">
        <v>5387</v>
      </c>
    </row>
    <row r="64" spans="1:2" ht="11.25" customHeight="1">
      <c r="A64" s="3"/>
      <c r="B64" s="3" t="s">
        <v>5388</v>
      </c>
    </row>
    <row r="65" spans="1:2" ht="11.25" customHeight="1">
      <c r="A65" s="3"/>
      <c r="B65" s="3" t="s">
        <v>5389</v>
      </c>
    </row>
    <row r="66" spans="1:2" ht="11.25" customHeight="1">
      <c r="A66" s="3"/>
      <c r="B66" s="3" t="s">
        <v>5390</v>
      </c>
    </row>
    <row r="67" spans="1:2" ht="11.25" customHeight="1">
      <c r="A67" s="3"/>
      <c r="B67" s="3" t="s">
        <v>5391</v>
      </c>
    </row>
    <row r="68" spans="1:2" ht="11.25" customHeight="1">
      <c r="A68" s="3"/>
      <c r="B68" s="3" t="s">
        <v>5392</v>
      </c>
    </row>
    <row r="69" spans="1:2" ht="11.25" customHeight="1">
      <c r="A69" s="3"/>
      <c r="B69" s="3" t="s">
        <v>5393</v>
      </c>
    </row>
    <row r="70" spans="1:2" ht="11.25" customHeight="1">
      <c r="A70" s="3"/>
      <c r="B70" s="3" t="s">
        <v>5394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5395</v>
      </c>
    </row>
    <row r="2" spans="2:4" ht="90" customHeight="1">
      <c r="B2" s="33" t="s">
        <v>5396</v>
      </c>
    </row>
    <row r="3" spans="2:4" ht="67.5" customHeight="1">
      <c r="B3" s="33" t="s">
        <v>5397</v>
      </c>
    </row>
    <row r="4" spans="2:4" ht="33.75" customHeight="1">
      <c r="B4" s="33" t="s">
        <v>5398</v>
      </c>
    </row>
    <row r="5" spans="2:4" ht="11.25" customHeight="1">
      <c r="B5" s="33" t="s">
        <v>5399</v>
      </c>
    </row>
    <row r="6" spans="2:4" ht="22.5" customHeight="1">
      <c r="B6" s="33" t="s">
        <v>5400</v>
      </c>
    </row>
    <row r="7" spans="2:4" ht="22.5" customHeight="1">
      <c r="B7" s="33" t="s">
        <v>5401</v>
      </c>
    </row>
    <row r="8" spans="2:4" ht="22.5" customHeight="1">
      <c r="B8" s="33" t="s">
        <v>5402</v>
      </c>
    </row>
    <row r="9" spans="2:4" ht="22.5" customHeight="1">
      <c r="B9" s="33" t="s">
        <v>5403</v>
      </c>
    </row>
    <row r="10" spans="2:4" ht="56.25" customHeight="1">
      <c r="B10" s="33" t="s">
        <v>5404</v>
      </c>
    </row>
    <row r="11" spans="2:4" ht="12.75" customHeight="1">
      <c r="B11" s="96" t="s">
        <v>5405</v>
      </c>
    </row>
    <row r="12" spans="2:4" ht="11.25" customHeight="1">
      <c r="B12" s="32" t="s">
        <v>5406</v>
      </c>
    </row>
    <row r="13" spans="2:4" ht="22.5" customHeight="1">
      <c r="B13" s="33" t="s">
        <v>5407</v>
      </c>
    </row>
    <row r="14" spans="2:4" ht="67.5" customHeight="1">
      <c r="B14" s="33" t="s">
        <v>5408</v>
      </c>
    </row>
    <row r="15" spans="2:4" ht="22.5" customHeight="1">
      <c r="B15" s="33" t="s">
        <v>5409</v>
      </c>
    </row>
    <row r="16" spans="2:4" ht="11.25" customHeight="1">
      <c r="B16" s="32" t="s">
        <v>5410</v>
      </c>
      <c r="D16" s="39"/>
    </row>
    <row r="17" spans="1:2" ht="33.75" customHeight="1">
      <c r="B17" s="33" t="s">
        <v>5411</v>
      </c>
    </row>
    <row r="18" spans="1:2" ht="33.75" customHeight="1">
      <c r="B18" s="33" t="s">
        <v>5412</v>
      </c>
    </row>
    <row r="19" spans="1:2" ht="11.25" customHeight="1">
      <c r="B19" s="33" t="s">
        <v>5413</v>
      </c>
    </row>
    <row r="20" spans="1:2" ht="33.75" customHeight="1">
      <c r="B20" s="33" t="s">
        <v>5414</v>
      </c>
    </row>
    <row r="21" spans="1:2" ht="11.25" customHeight="1">
      <c r="B21" s="32" t="s">
        <v>5415</v>
      </c>
    </row>
    <row r="22" spans="1:2" ht="11.25" customHeight="1">
      <c r="B22" s="33" t="s">
        <v>5416</v>
      </c>
    </row>
    <row r="24" spans="1:2" ht="22.5" customHeight="1">
      <c r="B24" s="98" t="s">
        <v>5417</v>
      </c>
    </row>
    <row r="26" spans="1:2" ht="11.25" customHeight="1">
      <c r="B26" s="32" t="s">
        <v>5418</v>
      </c>
    </row>
    <row r="27" spans="1:2" ht="22.5" customHeight="1">
      <c r="B27" s="97" t="s">
        <v>398</v>
      </c>
    </row>
    <row r="28" spans="1:2" ht="56.25" customHeight="1">
      <c r="B28" s="97" t="s">
        <v>5419</v>
      </c>
    </row>
    <row r="29" spans="1:2" ht="11.25" customHeight="1">
      <c r="B29" s="147" t="s">
        <v>5420</v>
      </c>
    </row>
    <row r="30" spans="1:2" ht="22.5" customHeight="1">
      <c r="B30" s="97" t="s">
        <v>5421</v>
      </c>
    </row>
    <row r="32" spans="1:2" ht="11.25" customHeight="1">
      <c r="A32" s="125"/>
      <c r="B32" s="126" t="s">
        <v>5422</v>
      </c>
    </row>
    <row r="33" spans="1:2" ht="14.25" customHeight="1">
      <c r="A33" s="127">
        <v>1</v>
      </c>
      <c r="B33" s="128" t="s">
        <v>5423</v>
      </c>
    </row>
    <row r="34" spans="1:2" ht="14.25" customHeight="1">
      <c r="A34" s="127">
        <v>2</v>
      </c>
      <c r="B34" s="128" t="s">
        <v>5424</v>
      </c>
    </row>
    <row r="35" spans="1:2" ht="11.25" customHeight="1">
      <c r="B35" s="126" t="s">
        <v>5425</v>
      </c>
    </row>
    <row r="36" spans="1:2" ht="11.25" customHeight="1">
      <c r="B36" s="128" t="s">
        <v>5426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97" t="s">
        <v>354</v>
      </c>
      <c r="I1" s="2197"/>
      <c r="V1" s="1534" t="s">
        <v>14</v>
      </c>
    </row>
    <row r="2" spans="1:22" s="1562" customFormat="1" ht="14.25" hidden="1" customHeight="1">
      <c r="C2" s="1546"/>
      <c r="D2" s="2201" t="s">
        <v>108</v>
      </c>
      <c r="E2" s="2203"/>
      <c r="F2" s="1552"/>
      <c r="G2" s="1547" t="s">
        <v>108</v>
      </c>
      <c r="H2" s="1550"/>
      <c r="I2" s="1548"/>
      <c r="L2" s="1549"/>
      <c r="M2" s="1549"/>
      <c r="N2" s="1549"/>
      <c r="O2" s="1549" t="s">
        <v>384</v>
      </c>
      <c r="P2" s="1549"/>
      <c r="Q2" s="1549"/>
      <c r="R2" s="1551" t="s">
        <v>383</v>
      </c>
      <c r="S2" s="1551" t="s">
        <v>383</v>
      </c>
      <c r="T2" s="1549"/>
      <c r="U2" s="1549"/>
      <c r="V2" s="1545">
        <v>0</v>
      </c>
    </row>
    <row r="3" spans="1:22" s="1562" customFormat="1" ht="14.25" hidden="1" customHeight="1">
      <c r="C3" s="1546"/>
      <c r="D3" s="2202"/>
      <c r="E3" s="2204"/>
      <c r="F3" s="342"/>
      <c r="G3" s="800"/>
      <c r="H3" s="800" t="s">
        <v>385</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358</v>
      </c>
      <c r="I5" s="639"/>
      <c r="J5" s="639"/>
      <c r="L5" s="1541"/>
      <c r="M5" s="1541"/>
      <c r="N5" s="1541"/>
      <c r="O5" s="1541"/>
      <c r="P5" s="1541"/>
      <c r="Q5" s="1541"/>
      <c r="R5" s="1541"/>
      <c r="S5" s="1541"/>
      <c r="T5" s="1541"/>
      <c r="U5" s="1541"/>
      <c r="V5" s="1540">
        <v>5</v>
      </c>
    </row>
    <row r="6" spans="1:22" ht="29.25" customHeight="1">
      <c r="C6" s="1443"/>
      <c r="D6" s="2200" t="s">
        <v>386</v>
      </c>
      <c r="E6" s="2200"/>
      <c r="F6" s="2200"/>
      <c r="G6" s="2200"/>
      <c r="H6" s="2200"/>
      <c r="I6" s="2200"/>
      <c r="J6" s="428"/>
      <c r="K6" s="1542"/>
      <c r="V6" s="1534">
        <v>28</v>
      </c>
    </row>
    <row r="7" spans="1:22" ht="18" customHeight="1">
      <c r="C7" s="1443"/>
      <c r="D7" s="2172" t="str">
        <f>IF(org=0,"Не определено",org)</f>
        <v>МУП "Михайловское водопроводно-канализационное хозяйство"</v>
      </c>
      <c r="E7" s="2172"/>
      <c r="F7" s="2172"/>
      <c r="G7" s="2172"/>
      <c r="H7" s="2172"/>
      <c r="I7" s="217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85" t="s">
        <v>302</v>
      </c>
      <c r="E10" s="2198"/>
      <c r="F10" s="2198"/>
      <c r="G10" s="2198"/>
      <c r="H10" s="2198"/>
      <c r="I10" s="2198"/>
      <c r="J10" s="2148" t="s">
        <v>303</v>
      </c>
      <c r="V10" s="1534">
        <v>14</v>
      </c>
    </row>
    <row r="11" spans="1:22" ht="27.4" customHeight="1">
      <c r="C11" s="1443"/>
      <c r="D11" s="2091" t="s">
        <v>87</v>
      </c>
      <c r="E11" s="2148" t="s">
        <v>104</v>
      </c>
      <c r="F11" s="2151" t="s">
        <v>87</v>
      </c>
      <c r="G11" s="2152"/>
      <c r="H11" s="2150" t="s">
        <v>387</v>
      </c>
      <c r="I11" s="2150" t="s">
        <v>388</v>
      </c>
      <c r="J11" s="2148"/>
      <c r="V11" s="1534">
        <v>26</v>
      </c>
    </row>
    <row r="12" spans="1:22" ht="14.65" customHeight="1">
      <c r="C12" s="1443"/>
      <c r="D12" s="2091"/>
      <c r="E12" s="2148"/>
      <c r="F12" s="2156"/>
      <c r="G12" s="2157"/>
      <c r="H12" s="2205"/>
      <c r="I12" s="2205"/>
      <c r="J12" s="2148"/>
      <c r="V12" s="1534">
        <v>14</v>
      </c>
    </row>
    <row r="13" spans="1:22" s="1568" customFormat="1" ht="11.25" hidden="1" customHeight="1">
      <c r="C13" s="435"/>
      <c r="D13" s="436" t="s">
        <v>378</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01" t="s">
        <v>108</v>
      </c>
      <c r="E14" s="2203"/>
      <c r="F14" s="1544"/>
      <c r="G14" s="1543" t="s">
        <v>108</v>
      </c>
      <c r="H14" s="1550"/>
      <c r="I14" s="1548"/>
      <c r="J14" s="2135" t="s">
        <v>389</v>
      </c>
      <c r="K14" s="1534"/>
      <c r="R14" s="437" t="s">
        <v>383</v>
      </c>
      <c r="S14" s="437" t="s">
        <v>383</v>
      </c>
      <c r="V14" s="1534">
        <v>14</v>
      </c>
    </row>
    <row r="15" spans="1:22" ht="14.65" customHeight="1">
      <c r="A15" s="1534"/>
      <c r="C15" s="1443"/>
      <c r="D15" s="2202"/>
      <c r="E15" s="2204"/>
      <c r="F15" s="342"/>
      <c r="G15" s="800"/>
      <c r="H15" s="800" t="s">
        <v>385</v>
      </c>
      <c r="I15" s="250"/>
      <c r="J15" s="2136"/>
      <c r="K15" s="1534"/>
      <c r="R15" s="437"/>
      <c r="S15" s="437"/>
      <c r="V15" s="1534">
        <v>14</v>
      </c>
    </row>
    <row r="16" spans="1:22" ht="14.65" customHeight="1">
      <c r="A16" s="1534"/>
      <c r="C16" s="1443"/>
      <c r="D16" s="342"/>
      <c r="E16" s="800" t="s">
        <v>125</v>
      </c>
      <c r="F16" s="250"/>
      <c r="G16" s="250"/>
      <c r="H16" s="343"/>
      <c r="I16" s="343"/>
      <c r="J16" s="2137"/>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2210</vt:i4>
      </vt:variant>
    </vt:vector>
  </HeadingPairs>
  <TitlesOfParts>
    <vt:vector size="229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user</cp:lastModifiedBy>
  <cp:lastPrinted>2024-10-08T06:17:50Z</cp:lastPrinted>
  <dcterms:created xsi:type="dcterms:W3CDTF">2004-05-21T07:18:45Z</dcterms:created>
  <dcterms:modified xsi:type="dcterms:W3CDTF">2024-10-08T06:18:05Z</dcterms:modified>
</cp:coreProperties>
</file>